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dmin\Desktop\posto saude nova uniao\LICITAÇÃO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K130" i="4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K91" i="4"/>
  <c r="K90" i="4"/>
  <c r="C3" i="4"/>
  <c r="T283" i="5"/>
  <c r="K278" i="12"/>
  <c r="K131" i="4"/>
  <c r="E14" i="13"/>
  <c r="A14" i="11"/>
  <c r="O8" i="5"/>
  <c r="A15" i="11" l="1"/>
  <c r="A19" i="1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D16" i="5"/>
  <c r="AD17" i="5" s="1"/>
  <c r="E16" i="5"/>
  <c r="E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C18" i="5" s="1"/>
  <c r="R18" i="5" s="1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B14" i="11"/>
  <c r="K14" i="11" s="1"/>
  <c r="J14" i="13" s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W18" i="5"/>
  <c r="H18" i="12" s="1"/>
  <c r="AR13" i="6"/>
  <c r="AS13" i="6" s="1"/>
  <c r="C19" i="5"/>
  <c r="AE19" i="5" s="1"/>
  <c r="N18" i="5"/>
  <c r="D18" i="6" s="1"/>
  <c r="B18" i="6"/>
  <c r="AE18" i="5"/>
  <c r="A18" i="12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2"/>
  <c r="J14" i="12"/>
  <c r="G14" i="11" l="1"/>
  <c r="F14" i="13" s="1"/>
  <c r="C14" i="13"/>
  <c r="K14" i="13" s="1"/>
  <c r="K11" i="10"/>
  <c r="AD17" i="6"/>
  <c r="AE17" i="6"/>
  <c r="X14" i="5"/>
  <c r="I14" i="12" s="1"/>
  <c r="N19" i="5"/>
  <c r="D19" i="6" s="1"/>
  <c r="AR12" i="6"/>
  <c r="AE16" i="6"/>
  <c r="B19" i="6"/>
  <c r="W19" i="5"/>
  <c r="H19" i="12" s="1"/>
  <c r="AC17" i="6"/>
  <c r="AB17" i="6"/>
  <c r="AD19" i="5"/>
  <c r="E19" i="5"/>
  <c r="AR14" i="6"/>
  <c r="A18" i="6"/>
  <c r="M18" i="6" s="1"/>
  <c r="AS18" i="6" s="1"/>
  <c r="H19" i="5"/>
  <c r="G19" i="5"/>
  <c r="A19" i="12"/>
  <c r="F19" i="5"/>
  <c r="B19" i="5"/>
  <c r="C20" i="5"/>
  <c r="AE20" i="5" s="1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AG18" i="6"/>
  <c r="AF18" i="6"/>
  <c r="AZ18" i="6"/>
  <c r="AB18" i="6"/>
  <c r="AE18" i="6"/>
  <c r="AQ18" i="6"/>
  <c r="BA18" i="6"/>
  <c r="AC18" i="6"/>
  <c r="BB18" i="6"/>
  <c r="G18" i="12"/>
  <c r="J20" i="12" l="1"/>
  <c r="K20" i="12" s="1"/>
  <c r="O14" i="5"/>
  <c r="E14" i="6" s="1"/>
  <c r="U109" i="4"/>
  <c r="K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A20" i="6"/>
  <c r="B22" i="7"/>
  <c r="C23" i="7"/>
  <c r="M11" i="9"/>
  <c r="N12" i="9"/>
  <c r="H20" i="6"/>
  <c r="T20" i="5" s="1"/>
  <c r="N14" i="12"/>
  <c r="M19" i="6"/>
  <c r="AD19" i="6" s="1"/>
  <c r="W22" i="5" l="1"/>
  <c r="H22" i="12" s="1"/>
  <c r="J112" i="4"/>
  <c r="D14" i="12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O12" i="9"/>
  <c r="N11" i="9"/>
  <c r="B23" i="7"/>
  <c r="C24" i="7"/>
  <c r="AB19" i="6"/>
  <c r="AC19" i="6"/>
  <c r="A21" i="6"/>
  <c r="AI19" i="6"/>
  <c r="AH19" i="6"/>
  <c r="H21" i="6"/>
  <c r="T21" i="5" s="1"/>
  <c r="AG19" i="6"/>
  <c r="AF19" i="6"/>
  <c r="T14" i="12"/>
  <c r="V14" i="12"/>
  <c r="U14" i="12"/>
  <c r="K21" i="12"/>
  <c r="AH20" i="6" l="1"/>
  <c r="AF20" i="6"/>
  <c r="AX20" i="6"/>
  <c r="G23" i="5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AE23" i="5"/>
  <c r="W23" i="5"/>
  <c r="H23" i="12" s="1"/>
  <c r="H23" i="5"/>
  <c r="F23" i="5"/>
  <c r="A23" i="12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O11" i="9"/>
  <c r="P12" i="9"/>
  <c r="G21" i="12"/>
  <c r="X21" i="5"/>
  <c r="C25" i="7"/>
  <c r="B24" i="7"/>
  <c r="I20" i="12"/>
  <c r="L20" i="5"/>
  <c r="AM20" i="5"/>
  <c r="Z20" i="5"/>
  <c r="F24" i="5" l="1"/>
  <c r="K24" i="5"/>
  <c r="AG21" i="6"/>
  <c r="AC21" i="6"/>
  <c r="A23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AA20" i="5"/>
  <c r="C20" i="6"/>
  <c r="O20" i="5"/>
  <c r="C20" i="12"/>
  <c r="M20" i="12"/>
  <c r="AO20" i="12"/>
  <c r="O20" i="12"/>
  <c r="B25" i="7"/>
  <c r="C26" i="7"/>
  <c r="I21" i="12"/>
  <c r="L21" i="5"/>
  <c r="AM21" i="5"/>
  <c r="Z21" i="5"/>
  <c r="H23" i="6"/>
  <c r="T23" i="5" s="1"/>
  <c r="Q12" i="9"/>
  <c r="P11" i="9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R12" i="9"/>
  <c r="Q11" i="9"/>
  <c r="G23" i="12"/>
  <c r="AA21" i="5"/>
  <c r="AB21" i="5"/>
  <c r="C21" i="6"/>
  <c r="O21" i="5"/>
  <c r="B26" i="7"/>
  <c r="C27" i="7"/>
  <c r="E20" i="6"/>
  <c r="D20" i="12"/>
  <c r="H24" i="6"/>
  <c r="T24" i="5" s="1"/>
  <c r="C21" i="12"/>
  <c r="O21" i="12"/>
  <c r="M21" i="12"/>
  <c r="AO21" i="12"/>
  <c r="Y20" i="12"/>
  <c r="A24" i="6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A25" i="6"/>
  <c r="H25" i="6"/>
  <c r="T25" i="5" s="1"/>
  <c r="X20" i="12"/>
  <c r="W20" i="12"/>
  <c r="M24" i="6"/>
  <c r="AI24" i="6" s="1"/>
  <c r="R11" i="9"/>
  <c r="S12" i="9"/>
  <c r="W21" i="12" l="1"/>
  <c r="V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9" i="7"/>
  <c r="B28" i="7"/>
  <c r="L27" i="12"/>
  <c r="J27" i="12"/>
  <c r="AK24" i="6"/>
  <c r="AM24" i="5"/>
  <c r="L24" i="5"/>
  <c r="I24" i="12"/>
  <c r="Z24" i="5"/>
  <c r="U21" i="12" l="1"/>
  <c r="T21" i="12"/>
  <c r="AQ25" i="6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AG26" i="6"/>
  <c r="AB26" i="6"/>
  <c r="F29" i="5" l="1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T24" i="12" l="1"/>
  <c r="V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6" l="1"/>
  <c r="C33" i="5"/>
  <c r="X26" i="12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A33" i="12" l="1"/>
  <c r="AD33" i="5"/>
  <c r="AE33" i="5"/>
  <c r="F33" i="5"/>
  <c r="N33" i="5"/>
  <c r="D33" i="6" s="1"/>
  <c r="C34" i="5"/>
  <c r="K34" i="5" s="1"/>
  <c r="H33" i="5"/>
  <c r="E33" i="5"/>
  <c r="B33" i="6"/>
  <c r="W33" i="5"/>
  <c r="H33" i="12" s="1"/>
  <c r="G33" i="5"/>
  <c r="B33" i="5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C35" i="5" l="1"/>
  <c r="A35" i="12" s="1"/>
  <c r="W34" i="5"/>
  <c r="H34" i="12" s="1"/>
  <c r="G34" i="5"/>
  <c r="E34" i="5"/>
  <c r="H34" i="5"/>
  <c r="D34" i="5"/>
  <c r="B34" i="12" s="1"/>
  <c r="B34" i="6"/>
  <c r="A34" i="12"/>
  <c r="J34" i="12" s="1"/>
  <c r="J34" i="5"/>
  <c r="AE34" i="5"/>
  <c r="N34" i="5"/>
  <c r="D34" i="6" s="1"/>
  <c r="AD34" i="5"/>
  <c r="B34" i="5"/>
  <c r="F34" i="5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AA30" i="5"/>
  <c r="C30" i="6"/>
  <c r="O30" i="5"/>
  <c r="AG32" i="6"/>
  <c r="AE32" i="6"/>
  <c r="AC32" i="6"/>
  <c r="H33" i="6"/>
  <c r="T33" i="5" s="1"/>
  <c r="N35" i="5" l="1"/>
  <c r="D35" i="6" s="1"/>
  <c r="D35" i="5"/>
  <c r="B35" i="12" s="1"/>
  <c r="AE35" i="5"/>
  <c r="J35" i="5"/>
  <c r="W35" i="5"/>
  <c r="H35" i="12" s="1"/>
  <c r="C36" i="5"/>
  <c r="K36" i="5" s="1"/>
  <c r="H35" i="5"/>
  <c r="B35" i="5"/>
  <c r="K35" i="5"/>
  <c r="B35" i="6"/>
  <c r="AD35" i="5"/>
  <c r="F35" i="5"/>
  <c r="E35" i="5"/>
  <c r="G35" i="5"/>
  <c r="L34" i="12"/>
  <c r="K34" i="12" s="1"/>
  <c r="M33" i="6"/>
  <c r="BC33" i="6" s="1"/>
  <c r="W29" i="12"/>
  <c r="V29" i="12" s="1"/>
  <c r="AB11" i="10"/>
  <c r="AC12" i="10"/>
  <c r="Y30" i="12"/>
  <c r="W30" i="12" s="1"/>
  <c r="H34" i="6"/>
  <c r="T34" i="5" s="1"/>
  <c r="A34" i="6"/>
  <c r="D30" i="12"/>
  <c r="E30" i="6"/>
  <c r="L35" i="12"/>
  <c r="J35" i="12"/>
  <c r="C31" i="12"/>
  <c r="M31" i="12"/>
  <c r="AO31" i="12"/>
  <c r="O31" i="12"/>
  <c r="G33" i="12"/>
  <c r="AA11" i="9"/>
  <c r="AB12" i="9"/>
  <c r="AA31" i="5"/>
  <c r="AB31" i="5"/>
  <c r="C31" i="6"/>
  <c r="O31" i="5"/>
  <c r="N30" i="12"/>
  <c r="B36" i="7"/>
  <c r="C37" i="7"/>
  <c r="F36" i="5" l="1"/>
  <c r="B36" i="6"/>
  <c r="J36" i="5"/>
  <c r="H36" i="5"/>
  <c r="AE36" i="5"/>
  <c r="D36" i="5"/>
  <c r="B36" i="12" s="1"/>
  <c r="W36" i="5"/>
  <c r="H36" i="12" s="1"/>
  <c r="E36" i="5"/>
  <c r="B36" i="5"/>
  <c r="N36" i="5"/>
  <c r="D36" i="6" s="1"/>
  <c r="AD36" i="5"/>
  <c r="A36" i="12"/>
  <c r="L36" i="12" s="1"/>
  <c r="C37" i="5"/>
  <c r="C38" i="5" s="1"/>
  <c r="G36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Y31" i="12"/>
  <c r="X31" i="12" s="1"/>
  <c r="AD12" i="10"/>
  <c r="AC11" i="10"/>
  <c r="D31" i="12"/>
  <c r="E31" i="6"/>
  <c r="AC12" i="9"/>
  <c r="AB11" i="9"/>
  <c r="B37" i="7"/>
  <c r="C38" i="7"/>
  <c r="T30" i="12"/>
  <c r="V30" i="12"/>
  <c r="U30" i="12"/>
  <c r="H35" i="6"/>
  <c r="T35" i="5" s="1"/>
  <c r="K35" i="12"/>
  <c r="M34" i="6"/>
  <c r="G34" i="12"/>
  <c r="X34" i="5"/>
  <c r="M35" i="6" l="1"/>
  <c r="AQ35" i="6" s="1"/>
  <c r="B37" i="6"/>
  <c r="AD37" i="5"/>
  <c r="F37" i="5"/>
  <c r="F38" i="5" s="1"/>
  <c r="J37" i="5"/>
  <c r="H37" i="5"/>
  <c r="H38" i="5" s="1"/>
  <c r="N37" i="5"/>
  <c r="D37" i="6" s="1"/>
  <c r="W37" i="5"/>
  <c r="H37" i="12" s="1"/>
  <c r="J36" i="12"/>
  <c r="K36" i="12" s="1"/>
  <c r="E37" i="5"/>
  <c r="E38" i="5" s="1"/>
  <c r="AE37" i="5"/>
  <c r="B37" i="5"/>
  <c r="B38" i="5" s="1"/>
  <c r="A37" i="12"/>
  <c r="L37" i="12" s="1"/>
  <c r="G37" i="5"/>
  <c r="G38" i="5" s="1"/>
  <c r="K37" i="5"/>
  <c r="D37" i="5"/>
  <c r="B37" i="12" s="1"/>
  <c r="W31" i="12"/>
  <c r="U31" i="12" s="1"/>
  <c r="A36" i="6"/>
  <c r="M36" i="6" s="1"/>
  <c r="AM36" i="6" s="1"/>
  <c r="AD11" i="10"/>
  <c r="AE12" i="10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D38" i="5"/>
  <c r="B38" i="12" s="1"/>
  <c r="W38" i="5"/>
  <c r="H38" i="12" s="1"/>
  <c r="C39" i="5"/>
  <c r="A38" i="12"/>
  <c r="K38" i="5"/>
  <c r="AE38" i="5"/>
  <c r="B38" i="6"/>
  <c r="N38" i="5"/>
  <c r="J38" i="5"/>
  <c r="AD38" i="5"/>
  <c r="AC11" i="9"/>
  <c r="AD12" i="9"/>
  <c r="B38" i="7"/>
  <c r="C39" i="7"/>
  <c r="H36" i="6"/>
  <c r="T36" i="5" s="1"/>
  <c r="AG35" i="6" l="1"/>
  <c r="BF35" i="6"/>
  <c r="AD35" i="6"/>
  <c r="AR35" i="6"/>
  <c r="AT35" i="6"/>
  <c r="AB35" i="6"/>
  <c r="AX35" i="6"/>
  <c r="AV35" i="6"/>
  <c r="AK35" i="6"/>
  <c r="AH35" i="6"/>
  <c r="AS35" i="6"/>
  <c r="BD35" i="6"/>
  <c r="AM35" i="6"/>
  <c r="AO35" i="6"/>
  <c r="AJ35" i="6"/>
  <c r="AC35" i="6"/>
  <c r="AY35" i="6"/>
  <c r="AN35" i="6"/>
  <c r="AI35" i="6"/>
  <c r="BG35" i="6"/>
  <c r="AP35" i="6"/>
  <c r="AE35" i="6"/>
  <c r="BA35" i="6"/>
  <c r="BB35" i="6"/>
  <c r="AF35" i="6"/>
  <c r="BC35" i="6"/>
  <c r="AZ35" i="6"/>
  <c r="AU35" i="6"/>
  <c r="BE35" i="6"/>
  <c r="J37" i="12"/>
  <c r="K37" i="12" s="1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W39" i="5"/>
  <c r="H39" i="12" s="1"/>
  <c r="A39" i="12"/>
  <c r="AD39" i="5"/>
  <c r="F39" i="5"/>
  <c r="G39" i="5"/>
  <c r="H39" i="5"/>
  <c r="B39" i="6"/>
  <c r="B39" i="5"/>
  <c r="C40" i="5" s="1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C34" i="6"/>
  <c r="C34" i="12"/>
  <c r="O34" i="12"/>
  <c r="M34" i="12"/>
  <c r="AO34" i="12"/>
  <c r="A38" i="6" l="1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H40" i="5"/>
  <c r="N40" i="5"/>
  <c r="AE40" i="5"/>
  <c r="AD40" i="5"/>
  <c r="B40" i="6"/>
  <c r="A40" i="12"/>
  <c r="C41" i="5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X34" i="12" l="1"/>
  <c r="A39" i="6"/>
  <c r="M39" i="6" s="1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AB36" i="5"/>
  <c r="C36" i="6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X35" i="12" l="1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D41" i="6"/>
  <c r="L41" i="12"/>
  <c r="J41" i="12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V35" i="12"/>
  <c r="T35" i="12"/>
  <c r="U35" i="12"/>
  <c r="N36" i="12"/>
  <c r="C37" i="6"/>
  <c r="AF43" i="5"/>
  <c r="X36" i="12" l="1"/>
  <c r="Y37" i="12"/>
  <c r="X37" i="12" s="1"/>
  <c r="S43" i="5"/>
  <c r="F43" i="12" s="1"/>
  <c r="AG43" i="5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K41" i="12"/>
  <c r="H41" i="6"/>
  <c r="T41" i="5" s="1"/>
  <c r="M40" i="6"/>
  <c r="G40" i="12"/>
  <c r="W37" i="12" l="1"/>
  <c r="U37" i="12" s="1"/>
  <c r="A42" i="6"/>
  <c r="M41" i="6"/>
  <c r="AP41" i="6" s="1"/>
  <c r="N38" i="12"/>
  <c r="K42" i="12"/>
  <c r="AB39" i="5"/>
  <c r="C39" i="6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C39" i="12"/>
  <c r="O39" i="12"/>
  <c r="M39" i="12"/>
  <c r="AO39" i="12"/>
  <c r="B44" i="7"/>
  <c r="C45" i="7"/>
  <c r="F43" i="6"/>
  <c r="E43" i="12"/>
  <c r="D43" i="6"/>
  <c r="H42" i="6"/>
  <c r="T42" i="5" s="1"/>
  <c r="M42" i="6" l="1"/>
  <c r="AS42" i="6" s="1"/>
  <c r="V37" i="12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N39" i="12"/>
  <c r="B45" i="7"/>
  <c r="C46" i="7"/>
  <c r="X38" i="12"/>
  <c r="W38" i="12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G42" i="12"/>
  <c r="X42" i="5"/>
  <c r="G43" i="6"/>
  <c r="H43" i="6"/>
  <c r="T43" i="5" s="1"/>
  <c r="G43" i="12" s="1"/>
  <c r="I41" i="12"/>
  <c r="L41" i="5"/>
  <c r="AM41" i="5"/>
  <c r="Z41" i="5"/>
  <c r="D44" i="6"/>
  <c r="L44" i="12"/>
  <c r="J44" i="12"/>
  <c r="AB42" i="6" l="1"/>
  <c r="AM42" i="6"/>
  <c r="AP42" i="6"/>
  <c r="BE42" i="6"/>
  <c r="AU42" i="6"/>
  <c r="AN42" i="6"/>
  <c r="BC42" i="6"/>
  <c r="AT42" i="6"/>
  <c r="BA42" i="6"/>
  <c r="BF42" i="6"/>
  <c r="AZ42" i="6"/>
  <c r="AO42" i="6"/>
  <c r="AE42" i="6"/>
  <c r="BB42" i="6"/>
  <c r="AI42" i="6"/>
  <c r="BG42" i="6"/>
  <c r="AK42" i="6"/>
  <c r="AR42" i="6"/>
  <c r="BD42" i="6"/>
  <c r="AG42" i="6"/>
  <c r="AC42" i="6"/>
  <c r="AJ42" i="6"/>
  <c r="AH42" i="6"/>
  <c r="AD42" i="6"/>
  <c r="AY42" i="6"/>
  <c r="AX42" i="6"/>
  <c r="AQ42" i="6"/>
  <c r="AF42" i="6"/>
  <c r="AV42" i="6"/>
  <c r="X39" i="12"/>
  <c r="M43" i="6"/>
  <c r="AU43" i="6" s="1"/>
  <c r="K44" i="12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AD46" i="5"/>
  <c r="J46" i="5"/>
  <c r="C47" i="5"/>
  <c r="G46" i="5"/>
  <c r="B46" i="6"/>
  <c r="D46" i="5"/>
  <c r="B46" i="12" s="1"/>
  <c r="E46" i="5"/>
  <c r="B46" i="5"/>
  <c r="T38" i="12"/>
  <c r="V38" i="12"/>
  <c r="U38" i="12"/>
  <c r="V39" i="12"/>
  <c r="U39" i="12"/>
  <c r="T39" i="12"/>
  <c r="C47" i="7"/>
  <c r="B46" i="7"/>
  <c r="C41" i="6"/>
  <c r="I42" i="12"/>
  <c r="L42" i="5"/>
  <c r="AM42" i="5"/>
  <c r="Z42" i="5"/>
  <c r="A44" i="6"/>
  <c r="L45" i="12"/>
  <c r="J45" i="12"/>
  <c r="D45" i="6"/>
  <c r="AD43" i="6" l="1"/>
  <c r="AG43" i="6"/>
  <c r="AF43" i="6"/>
  <c r="AC43" i="6"/>
  <c r="AH43" i="6"/>
  <c r="AP43" i="6"/>
  <c r="BE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K45" i="12"/>
  <c r="AB42" i="5"/>
  <c r="C42" i="6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C42" i="12"/>
  <c r="O42" i="12"/>
  <c r="AO42" i="12"/>
  <c r="M42" i="12"/>
  <c r="J46" i="12"/>
  <c r="L46" i="12"/>
  <c r="A45" i="6"/>
  <c r="Y41" i="12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D47" i="6"/>
  <c r="W48" i="5"/>
  <c r="H48" i="12" s="1"/>
  <c r="AE48" i="5"/>
  <c r="N48" i="5"/>
  <c r="AD48" i="5"/>
  <c r="J48" i="5"/>
  <c r="F48" i="5"/>
  <c r="B48" i="6"/>
  <c r="C49" i="5"/>
  <c r="G48" i="5"/>
  <c r="D48" i="5"/>
  <c r="B48" i="12" s="1"/>
  <c r="E48" i="5"/>
  <c r="H48" i="5"/>
  <c r="A48" i="12"/>
  <c r="K48" i="5"/>
  <c r="B48" i="5"/>
  <c r="AJ45" i="6" l="1"/>
  <c r="K47" i="12"/>
  <c r="A47" i="6"/>
  <c r="AE45" i="6"/>
  <c r="AB45" i="6"/>
  <c r="AC45" i="6"/>
  <c r="X42" i="12"/>
  <c r="W42" i="12"/>
  <c r="B49" i="7"/>
  <c r="C50" i="7"/>
  <c r="M46" i="6"/>
  <c r="AG46" i="6" s="1"/>
  <c r="C44" i="6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R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X47" i="5"/>
  <c r="H48" i="6"/>
  <c r="T48" i="5" s="1"/>
  <c r="D49" i="6"/>
  <c r="J49" i="12"/>
  <c r="L49" i="12"/>
  <c r="A48" i="6"/>
  <c r="AF51" i="5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H49" i="6"/>
  <c r="T49" i="5" s="1"/>
  <c r="G48" i="12"/>
  <c r="X48" i="5"/>
  <c r="F51" i="5"/>
  <c r="C52" i="5"/>
  <c r="AD51" i="5"/>
  <c r="K51" i="5"/>
  <c r="E51" i="5"/>
  <c r="B51" i="6"/>
  <c r="J51" i="5"/>
  <c r="AE51" i="5"/>
  <c r="N51" i="5"/>
  <c r="D51" i="5"/>
  <c r="B51" i="12" s="1"/>
  <c r="R51" i="5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E50" i="12"/>
  <c r="F50" i="6"/>
  <c r="J50" i="12"/>
  <c r="L50" i="12"/>
  <c r="D50" i="6"/>
  <c r="AB46" i="5"/>
  <c r="C46" i="6"/>
  <c r="AF52" i="5"/>
  <c r="W45" i="12" l="1"/>
  <c r="T45" i="12" s="1"/>
  <c r="A50" i="6"/>
  <c r="M50" i="6" s="1"/>
  <c r="BD50" i="6" s="1"/>
  <c r="AG52" i="5"/>
  <c r="S52" i="5"/>
  <c r="F52" i="12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N46" i="12"/>
  <c r="J51" i="12"/>
  <c r="L51" i="12"/>
  <c r="E52" i="5"/>
  <c r="D52" i="5"/>
  <c r="B52" i="12" s="1"/>
  <c r="J52" i="5"/>
  <c r="A52" i="12"/>
  <c r="AE52" i="5"/>
  <c r="R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H50" i="6"/>
  <c r="T50" i="5" s="1"/>
  <c r="G50" i="6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AF53" i="5"/>
  <c r="V45" i="12" l="1"/>
  <c r="U45" i="12"/>
  <c r="A51" i="6"/>
  <c r="M51" i="6" s="1"/>
  <c r="AY51" i="6" s="1"/>
  <c r="R53" i="5"/>
  <c r="AN50" i="6"/>
  <c r="AJ50" i="6"/>
  <c r="AH50" i="6"/>
  <c r="AR50" i="6"/>
  <c r="BC50" i="6"/>
  <c r="BF50" i="6"/>
  <c r="AM50" i="6"/>
  <c r="BG50" i="6"/>
  <c r="BA50" i="6"/>
  <c r="AS50" i="6"/>
  <c r="AT50" i="6"/>
  <c r="S53" i="5"/>
  <c r="F53" i="12" s="1"/>
  <c r="AG53" i="5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G51" i="6"/>
  <c r="Y47" i="12"/>
  <c r="C54" i="7"/>
  <c r="B53" i="7"/>
  <c r="AB50" i="6"/>
  <c r="AK50" i="6"/>
  <c r="AD50" i="6"/>
  <c r="AE50" i="6"/>
  <c r="AF50" i="6"/>
  <c r="C48" i="6"/>
  <c r="D52" i="6"/>
  <c r="E52" i="12"/>
  <c r="F52" i="6"/>
  <c r="L52" i="12"/>
  <c r="J52" i="12"/>
  <c r="AF54" i="5"/>
  <c r="BA51" i="6" l="1"/>
  <c r="AZ51" i="6"/>
  <c r="AF51" i="6"/>
  <c r="AU51" i="6"/>
  <c r="AS51" i="6"/>
  <c r="AQ51" i="6"/>
  <c r="AG54" i="5"/>
  <c r="S54" i="5"/>
  <c r="F54" i="12" s="1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W47" i="12"/>
  <c r="X47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F53" i="6"/>
  <c r="E53" i="12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R54" i="5"/>
  <c r="C55" i="5"/>
  <c r="AD54" i="5"/>
  <c r="K54" i="5"/>
  <c r="N54" i="5"/>
  <c r="D54" i="5"/>
  <c r="B54" i="12" s="1"/>
  <c r="G54" i="5"/>
  <c r="B54" i="6"/>
  <c r="W54" i="5"/>
  <c r="H54" i="12" s="1"/>
  <c r="AF55" i="5"/>
  <c r="A53" i="6" l="1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R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G53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D54" i="6"/>
  <c r="E54" i="12"/>
  <c r="F54" i="6"/>
  <c r="J54" i="12"/>
  <c r="L54" i="12"/>
  <c r="B55" i="7"/>
  <c r="C56" i="7"/>
  <c r="C50" i="6"/>
  <c r="O50" i="5"/>
  <c r="AM51" i="5"/>
  <c r="L51" i="5"/>
  <c r="I51" i="12"/>
  <c r="Z51" i="5"/>
  <c r="AC51" i="5"/>
  <c r="G52" i="12"/>
  <c r="X52" i="5"/>
  <c r="AC52" i="6"/>
  <c r="AJ52" i="6"/>
  <c r="AF56" i="5"/>
  <c r="M53" i="6" l="1"/>
  <c r="AX53" i="6" s="1"/>
  <c r="W49" i="12"/>
  <c r="U49" i="12" s="1"/>
  <c r="Y50" i="12"/>
  <c r="X50" i="12" s="1"/>
  <c r="AG56" i="5"/>
  <c r="S56" i="5"/>
  <c r="F56" i="12" s="1"/>
  <c r="N50" i="12"/>
  <c r="K54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I52" i="12"/>
  <c r="L52" i="5"/>
  <c r="AM52" i="5"/>
  <c r="Z52" i="5"/>
  <c r="AC52" i="5"/>
  <c r="C51" i="6"/>
  <c r="O51" i="5"/>
  <c r="E50" i="6"/>
  <c r="D50" i="12"/>
  <c r="C57" i="7"/>
  <c r="B56" i="7"/>
  <c r="G54" i="6"/>
  <c r="H54" i="6"/>
  <c r="T54" i="5" s="1"/>
  <c r="V48" i="12"/>
  <c r="T48" i="12"/>
  <c r="U48" i="12"/>
  <c r="D55" i="6"/>
  <c r="F55" i="6"/>
  <c r="E55" i="12"/>
  <c r="A54" i="6"/>
  <c r="AF57" i="5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AG57" i="5"/>
  <c r="S57" i="5"/>
  <c r="F57" i="12" s="1"/>
  <c r="Y51" i="12"/>
  <c r="W51" i="12" s="1"/>
  <c r="K55" i="12"/>
  <c r="H55" i="6"/>
  <c r="T55" i="5" s="1"/>
  <c r="G55" i="6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D51" i="12"/>
  <c r="E51" i="6"/>
  <c r="AA52" i="5"/>
  <c r="AB52" i="5"/>
  <c r="C52" i="6"/>
  <c r="O52" i="5"/>
  <c r="F56" i="6"/>
  <c r="E56" i="12"/>
  <c r="R57" i="5"/>
  <c r="K57" i="5"/>
  <c r="D57" i="5"/>
  <c r="B57" i="12" s="1"/>
  <c r="B57" i="5"/>
  <c r="C58" i="5" s="1"/>
  <c r="E57" i="5"/>
  <c r="W57" i="5"/>
  <c r="H57" i="12" s="1"/>
  <c r="J57" i="5"/>
  <c r="G57" i="5"/>
  <c r="AD57" i="5"/>
  <c r="B57" i="6"/>
  <c r="A57" i="12"/>
  <c r="N57" i="5"/>
  <c r="AE57" i="5"/>
  <c r="F57" i="5"/>
  <c r="H57" i="5"/>
  <c r="N51" i="12"/>
  <c r="AF58" i="5"/>
  <c r="V50" i="12" l="1"/>
  <c r="T50" i="12"/>
  <c r="X51" i="12"/>
  <c r="AG58" i="5"/>
  <c r="S58" i="5"/>
  <c r="F58" i="12" s="1"/>
  <c r="AG54" i="6"/>
  <c r="A56" i="6"/>
  <c r="M56" i="6" s="1"/>
  <c r="K56" i="12"/>
  <c r="N52" i="12"/>
  <c r="AE54" i="6"/>
  <c r="D57" i="6"/>
  <c r="E57" i="12"/>
  <c r="F57" i="6"/>
  <c r="H56" i="6"/>
  <c r="T56" i="5" s="1"/>
  <c r="G56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X55" i="5"/>
  <c r="B58" i="5"/>
  <c r="W58" i="5"/>
  <c r="H58" i="12" s="1"/>
  <c r="F58" i="5"/>
  <c r="AD58" i="5"/>
  <c r="C59" i="5"/>
  <c r="R59" i="5" s="1"/>
  <c r="AE58" i="5"/>
  <c r="B58" i="6"/>
  <c r="N58" i="5"/>
  <c r="H58" i="5"/>
  <c r="A58" i="12"/>
  <c r="E58" i="5"/>
  <c r="G58" i="5"/>
  <c r="J57" i="12"/>
  <c r="L57" i="12"/>
  <c r="E52" i="6"/>
  <c r="D52" i="12"/>
  <c r="AB54" i="6"/>
  <c r="AD54" i="6"/>
  <c r="AJ54" i="6"/>
  <c r="AC54" i="6"/>
  <c r="U51" i="12"/>
  <c r="T51" i="12"/>
  <c r="V51" i="12"/>
  <c r="AI54" i="6"/>
  <c r="AK54" i="6"/>
  <c r="M55" i="6"/>
  <c r="AH55" i="6" s="1"/>
  <c r="AF59" i="5"/>
  <c r="A57" i="6" l="1"/>
  <c r="M57" i="6" s="1"/>
  <c r="AM57" i="6" s="1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H59" i="5"/>
  <c r="F59" i="5"/>
  <c r="B59" i="6"/>
  <c r="B59" i="5"/>
  <c r="G59" i="5"/>
  <c r="AD59" i="5"/>
  <c r="W59" i="5"/>
  <c r="H59" i="12" s="1"/>
  <c r="E59" i="5"/>
  <c r="C60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D58" i="6"/>
  <c r="E58" i="12"/>
  <c r="F58" i="6"/>
  <c r="AM55" i="5"/>
  <c r="I55" i="12"/>
  <c r="L55" i="5"/>
  <c r="Z55" i="5"/>
  <c r="AC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R57" i="6" l="1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T52" i="12"/>
  <c r="U52" i="12"/>
  <c r="V52" i="12"/>
  <c r="C61" i="7"/>
  <c r="B60" i="7"/>
  <c r="D54" i="12"/>
  <c r="E54" i="6"/>
  <c r="F59" i="6"/>
  <c r="E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G58" i="6"/>
  <c r="H58" i="6"/>
  <c r="T58" i="5" s="1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W54" i="12" l="1"/>
  <c r="V54" i="12" s="1"/>
  <c r="N55" i="12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E55" i="6"/>
  <c r="D55" i="12"/>
  <c r="C56" i="6"/>
  <c r="O56" i="5"/>
  <c r="T54" i="12" l="1"/>
  <c r="U54" i="12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G59" i="12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W56" i="12" l="1"/>
  <c r="U56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E57" i="6"/>
  <c r="D57" i="12"/>
  <c r="A61" i="6"/>
  <c r="N57" i="12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M61" i="6" l="1"/>
  <c r="BC61" i="6" s="1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D63" i="6"/>
  <c r="AM60" i="5"/>
  <c r="I60" i="12"/>
  <c r="L60" i="5"/>
  <c r="Z60" i="5"/>
  <c r="A62" i="6"/>
  <c r="H62" i="6"/>
  <c r="T62" i="5" s="1"/>
  <c r="V57" i="12"/>
  <c r="U57" i="12"/>
  <c r="T57" i="12"/>
  <c r="G61" i="12"/>
  <c r="X61" i="5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K62" i="12"/>
  <c r="AZ61" i="6" l="1"/>
  <c r="AV61" i="6"/>
  <c r="AK61" i="6"/>
  <c r="AX61" i="6"/>
  <c r="AB61" i="6"/>
  <c r="AH61" i="6"/>
  <c r="AE61" i="6"/>
  <c r="AY61" i="6"/>
  <c r="BA61" i="6"/>
  <c r="AO61" i="6"/>
  <c r="AC61" i="6"/>
  <c r="AD61" i="6"/>
  <c r="AG61" i="6"/>
  <c r="AS61" i="6"/>
  <c r="AF61" i="6"/>
  <c r="AT61" i="6"/>
  <c r="AN61" i="6"/>
  <c r="AM61" i="6"/>
  <c r="BF61" i="6"/>
  <c r="AU61" i="6"/>
  <c r="BG61" i="6"/>
  <c r="BD61" i="6"/>
  <c r="BB61" i="6"/>
  <c r="BE61" i="6"/>
  <c r="AJ61" i="6"/>
  <c r="AP61" i="6"/>
  <c r="AR61" i="6"/>
  <c r="AQ61" i="6"/>
  <c r="AI61" i="6"/>
  <c r="M62" i="6"/>
  <c r="AZ62" i="6" s="1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B60" i="5"/>
  <c r="C60" i="12"/>
  <c r="AO60" i="12"/>
  <c r="M60" i="12"/>
  <c r="O60" i="12"/>
  <c r="H63" i="6"/>
  <c r="T63" i="5" s="1"/>
  <c r="I61" i="12"/>
  <c r="AM61" i="5"/>
  <c r="L61" i="5"/>
  <c r="Z61" i="5"/>
  <c r="C60" i="6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C62" i="6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66" i="6" l="1"/>
  <c r="M66" i="6" s="1"/>
  <c r="AZ66" i="6" s="1"/>
  <c r="Y62" i="12"/>
  <c r="W62" i="12" s="1"/>
  <c r="M65" i="6"/>
  <c r="AD65" i="6" s="1"/>
  <c r="C63" i="6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N62" i="12"/>
  <c r="W61" i="12"/>
  <c r="X61" i="12"/>
  <c r="I64" i="12"/>
  <c r="AM64" i="5"/>
  <c r="L64" i="5"/>
  <c r="Z64" i="5"/>
  <c r="AF69" i="5"/>
  <c r="X62" i="12" l="1"/>
  <c r="BA66" i="6"/>
  <c r="BB66" i="6"/>
  <c r="AT66" i="6"/>
  <c r="AD66" i="6"/>
  <c r="BC66" i="6"/>
  <c r="AS66" i="6"/>
  <c r="AM66" i="6"/>
  <c r="AN66" i="6"/>
  <c r="AR66" i="6"/>
  <c r="AP66" i="6"/>
  <c r="AO66" i="6"/>
  <c r="Y63" i="12"/>
  <c r="W63" i="12" s="1"/>
  <c r="AY66" i="6"/>
  <c r="AQ66" i="6"/>
  <c r="BE66" i="6"/>
  <c r="BF66" i="6"/>
  <c r="BD66" i="6"/>
  <c r="AX66" i="6"/>
  <c r="AU66" i="6"/>
  <c r="BG66" i="6"/>
  <c r="AV66" i="6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C66" i="6"/>
  <c r="AI66" i="6"/>
  <c r="AF66" i="6"/>
  <c r="AH66" i="6"/>
  <c r="AE66" i="6"/>
  <c r="AB66" i="6"/>
  <c r="T62" i="12"/>
  <c r="U62" i="12"/>
  <c r="V62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A67" i="6"/>
  <c r="M67" i="6" s="1"/>
  <c r="AK66" i="6"/>
  <c r="AJ66" i="6"/>
  <c r="AG66" i="6"/>
  <c r="AF70" i="5"/>
  <c r="X63" i="12" l="1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W64" i="12"/>
  <c r="X64" i="12"/>
  <c r="Y65" i="12"/>
  <c r="D70" i="6"/>
  <c r="A69" i="6"/>
  <c r="L67" i="5"/>
  <c r="AM67" i="5"/>
  <c r="I67" i="12"/>
  <c r="Z67" i="5"/>
  <c r="AH68" i="6"/>
  <c r="AB68" i="6"/>
  <c r="AD68" i="6"/>
  <c r="AJ68" i="6"/>
  <c r="AI68" i="6"/>
  <c r="G69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B67" i="5"/>
  <c r="L68" i="5"/>
  <c r="I68" i="12"/>
  <c r="AM68" i="5"/>
  <c r="Z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X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C68" i="6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W67" i="12"/>
  <c r="V67" i="12" s="1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J73" i="12"/>
  <c r="L73" i="12"/>
  <c r="N68" i="12"/>
  <c r="I70" i="12"/>
  <c r="L70" i="5"/>
  <c r="AM70" i="5"/>
  <c r="Z70" i="5"/>
  <c r="AC70" i="5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AF75" i="5"/>
  <c r="A73" i="6" l="1"/>
  <c r="M73" i="6" s="1"/>
  <c r="BC73" i="6" s="1"/>
  <c r="T67" i="12"/>
  <c r="U67" i="12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T68" i="12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A74" i="6" l="1"/>
  <c r="M74" i="6" s="1"/>
  <c r="AS74" i="6" s="1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K77" i="5"/>
  <c r="B77" i="5"/>
  <c r="C78" i="5" s="1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E78" i="5"/>
  <c r="B78" i="6"/>
  <c r="N78" i="5"/>
  <c r="F78" i="5"/>
  <c r="AD78" i="5"/>
  <c r="G78" i="5"/>
  <c r="B78" i="5"/>
  <c r="W78" i="5"/>
  <c r="H78" i="12" s="1"/>
  <c r="AE78" i="5"/>
  <c r="H78" i="5"/>
  <c r="A78" i="12"/>
  <c r="C79" i="5"/>
  <c r="R79" i="5" s="1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H79" i="5"/>
  <c r="N79" i="5"/>
  <c r="A79" i="12"/>
  <c r="AE79" i="5"/>
  <c r="G79" i="5"/>
  <c r="C80" i="5"/>
  <c r="B79" i="5"/>
  <c r="W79" i="5"/>
  <c r="H79" i="12" s="1"/>
  <c r="AD79" i="5"/>
  <c r="D78" i="6"/>
  <c r="E78" i="12"/>
  <c r="F78" i="6"/>
  <c r="M76" i="6"/>
  <c r="AJ76" i="6" s="1"/>
  <c r="L75" i="5"/>
  <c r="I75" i="12"/>
  <c r="AM75" i="5"/>
  <c r="Z75" i="5"/>
  <c r="AC75" i="5"/>
  <c r="U71" i="12"/>
  <c r="T71" i="12"/>
  <c r="V71" i="12"/>
  <c r="G76" i="12"/>
  <c r="X76" i="5"/>
  <c r="AB76" i="6" l="1"/>
  <c r="AC76" i="6"/>
  <c r="AN77" i="6"/>
  <c r="BA77" i="6"/>
  <c r="AZ77" i="6"/>
  <c r="AR77" i="6"/>
  <c r="AD76" i="6"/>
  <c r="A78" i="6"/>
  <c r="M78" i="6" s="1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AC78" i="6"/>
  <c r="AI78" i="6"/>
  <c r="AJ78" i="6"/>
  <c r="E75" i="6"/>
  <c r="D75" i="12"/>
  <c r="AA76" i="5"/>
  <c r="AB76" i="5"/>
  <c r="C76" i="6"/>
  <c r="O76" i="5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D76" i="12"/>
  <c r="E76" i="6"/>
  <c r="C77" i="12"/>
  <c r="O77" i="12"/>
  <c r="AO77" i="12"/>
  <c r="M77" i="12"/>
  <c r="G79" i="12"/>
  <c r="AE79" i="6"/>
  <c r="AH79" i="6"/>
  <c r="AD79" i="6"/>
  <c r="K80" i="12"/>
  <c r="J81" i="12"/>
  <c r="L81" i="12"/>
  <c r="AA77" i="5"/>
  <c r="AB77" i="5"/>
  <c r="C77" i="6"/>
  <c r="O77" i="5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K81" i="12" l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N77" i="12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AF84" i="5"/>
  <c r="AG84" i="5" l="1"/>
  <c r="S84" i="5"/>
  <c r="F84" i="12" s="1"/>
  <c r="M81" i="6"/>
  <c r="AF81" i="6" s="1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AM80" i="5"/>
  <c r="L80" i="5"/>
  <c r="I80" i="12"/>
  <c r="Z80" i="5"/>
  <c r="D83" i="6"/>
  <c r="J83" i="12"/>
  <c r="L83" i="12"/>
  <c r="X77" i="12"/>
  <c r="W77" i="12"/>
  <c r="G81" i="12"/>
  <c r="X81" i="5"/>
  <c r="K82" i="12"/>
  <c r="AF85" i="5"/>
  <c r="BE81" i="6" l="1"/>
  <c r="AS81" i="6"/>
  <c r="AC81" i="6"/>
  <c r="AT81" i="6"/>
  <c r="AB81" i="6"/>
  <c r="BC81" i="6"/>
  <c r="AX81" i="6"/>
  <c r="AO81" i="6"/>
  <c r="AD81" i="6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D84" i="6"/>
  <c r="AM81" i="5"/>
  <c r="I81" i="12"/>
  <c r="L81" i="5"/>
  <c r="Z81" i="5"/>
  <c r="V77" i="12"/>
  <c r="T77" i="12"/>
  <c r="U77" i="12"/>
  <c r="AB80" i="5"/>
  <c r="C80" i="12"/>
  <c r="AO80" i="12"/>
  <c r="M80" i="12"/>
  <c r="O80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C81" i="12"/>
  <c r="AO81" i="12"/>
  <c r="O81" i="12"/>
  <c r="M81" i="12"/>
  <c r="H84" i="6"/>
  <c r="T84" i="5" s="1"/>
  <c r="G84" i="6"/>
  <c r="G83" i="12"/>
  <c r="X83" i="5"/>
  <c r="E85" i="12"/>
  <c r="F85" i="6"/>
  <c r="N80" i="12"/>
  <c r="Y80" i="12"/>
  <c r="AA81" i="5"/>
  <c r="AB81" i="5"/>
  <c r="C81" i="6"/>
  <c r="O81" i="5"/>
  <c r="AF87" i="5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K85" i="12"/>
  <c r="F86" i="6"/>
  <c r="E86" i="12"/>
  <c r="AF88" i="5"/>
  <c r="M85" i="6" l="1"/>
  <c r="AO85" i="6" s="1"/>
  <c r="A86" i="6"/>
  <c r="M86" i="6" s="1"/>
  <c r="BA86" i="6" s="1"/>
  <c r="AG88" i="5"/>
  <c r="S88" i="5"/>
  <c r="F88" i="12" s="1"/>
  <c r="Y82" i="12"/>
  <c r="W82" i="12" s="1"/>
  <c r="W81" i="12"/>
  <c r="X81" i="12"/>
  <c r="C83" i="6"/>
  <c r="H86" i="6"/>
  <c r="T86" i="5" s="1"/>
  <c r="G86" i="6"/>
  <c r="J87" i="12"/>
  <c r="L87" i="12"/>
  <c r="F87" i="6"/>
  <c r="E87" i="12"/>
  <c r="G85" i="12"/>
  <c r="X85" i="5"/>
  <c r="V80" i="12"/>
  <c r="T80" i="12"/>
  <c r="U80" i="12"/>
  <c r="I84" i="12"/>
  <c r="L84" i="5"/>
  <c r="AM84" i="5"/>
  <c r="Z84" i="5"/>
  <c r="AC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BC85" i="6" l="1"/>
  <c r="AX85" i="6"/>
  <c r="AZ85" i="6"/>
  <c r="AH85" i="6"/>
  <c r="AI85" i="6"/>
  <c r="AR85" i="6"/>
  <c r="AK85" i="6"/>
  <c r="AD85" i="6"/>
  <c r="BB85" i="6"/>
  <c r="AG85" i="6"/>
  <c r="BE85" i="6"/>
  <c r="AV85" i="6"/>
  <c r="AE85" i="6"/>
  <c r="AB85" i="6"/>
  <c r="AJ85" i="6"/>
  <c r="AF85" i="6"/>
  <c r="AC85" i="6"/>
  <c r="A87" i="6"/>
  <c r="AS85" i="6"/>
  <c r="AU85" i="6"/>
  <c r="BA85" i="6"/>
  <c r="AY85" i="6"/>
  <c r="AT85" i="6"/>
  <c r="AQ85" i="6"/>
  <c r="AP85" i="6"/>
  <c r="BD85" i="6"/>
  <c r="AM85" i="6"/>
  <c r="AN85" i="6"/>
  <c r="BF85" i="6"/>
  <c r="BG85" i="6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J88" i="12"/>
  <c r="L88" i="12"/>
  <c r="F88" i="6"/>
  <c r="E88" i="12"/>
  <c r="M87" i="6"/>
  <c r="AV87" i="6" s="1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R95" i="5" s="1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R96" i="5" s="1"/>
  <c r="AD95" i="5"/>
  <c r="H95" i="5"/>
  <c r="A95" i="12"/>
  <c r="E95" i="5"/>
  <c r="W95" i="5"/>
  <c r="H95" i="12" s="1"/>
  <c r="N95" i="5"/>
  <c r="G95" i="5"/>
  <c r="AE95" i="5"/>
  <c r="F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C97" i="5"/>
  <c r="A96" i="12"/>
  <c r="E96" i="5"/>
  <c r="F96" i="5"/>
  <c r="B96" i="6"/>
  <c r="AD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Y91" i="12" l="1"/>
  <c r="W91" i="12" s="1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C92" i="6"/>
  <c r="O92" i="5"/>
  <c r="W90" i="12"/>
  <c r="X90" i="12"/>
  <c r="X91" i="12" l="1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A94" i="5"/>
  <c r="AB94" i="5"/>
  <c r="K97" i="12"/>
  <c r="H97" i="6"/>
  <c r="T97" i="5" s="1"/>
  <c r="BC96" i="6"/>
  <c r="AM96" i="6"/>
  <c r="G96" i="12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W93" i="12" l="1"/>
  <c r="U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T92" i="12"/>
  <c r="V92" i="12"/>
  <c r="U92" i="12"/>
  <c r="H98" i="6"/>
  <c r="T98" i="5" s="1"/>
  <c r="N94" i="12"/>
  <c r="D94" i="12"/>
  <c r="E94" i="6"/>
  <c r="D99" i="6"/>
  <c r="A98" i="6"/>
  <c r="M98" i="6" s="1"/>
  <c r="AF101" i="5"/>
  <c r="V93" i="12" l="1"/>
  <c r="T93" i="12"/>
  <c r="X94" i="12"/>
  <c r="AG101" i="5"/>
  <c r="S101" i="5"/>
  <c r="F101" i="12" s="1"/>
  <c r="K99" i="12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99" i="6"/>
  <c r="M99" i="6" s="1"/>
  <c r="AM99" i="6" s="1"/>
  <c r="H99" i="6"/>
  <c r="T99" i="5" s="1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AF102" i="5"/>
  <c r="A100" i="6" l="1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AD99" i="6"/>
  <c r="AG99" i="6"/>
  <c r="AC99" i="6"/>
  <c r="AN99" i="6"/>
  <c r="AP99" i="6"/>
  <c r="AO99" i="6"/>
  <c r="AU99" i="6"/>
  <c r="AK99" i="6"/>
  <c r="BD99" i="6"/>
  <c r="AT99" i="6"/>
  <c r="AR99" i="6"/>
  <c r="AV99" i="6"/>
  <c r="E101" i="12"/>
  <c r="F101" i="6"/>
  <c r="D101" i="6"/>
  <c r="G99" i="12"/>
  <c r="X99" i="5"/>
  <c r="K100" i="12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AF103" i="5"/>
  <c r="A101" i="6" l="1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E102" i="12"/>
  <c r="F102" i="6"/>
  <c r="D102" i="6"/>
  <c r="L102" i="12"/>
  <c r="J102" i="12"/>
  <c r="G100" i="12"/>
  <c r="X100" i="5"/>
  <c r="Y97" i="12"/>
  <c r="C98" i="6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G101" i="6"/>
  <c r="H101" i="6"/>
  <c r="T101" i="5" s="1"/>
  <c r="AF104" i="5"/>
  <c r="M101" i="6" l="1"/>
  <c r="BC101" i="6" s="1"/>
  <c r="S104" i="5"/>
  <c r="F104" i="12" s="1"/>
  <c r="AG104" i="5"/>
  <c r="Y98" i="12"/>
  <c r="W98" i="12" s="1"/>
  <c r="AB99" i="5"/>
  <c r="C99" i="12"/>
  <c r="AO99" i="12"/>
  <c r="O99" i="12"/>
  <c r="M99" i="12"/>
  <c r="F103" i="6"/>
  <c r="E103" i="12"/>
  <c r="I100" i="12"/>
  <c r="L100" i="5"/>
  <c r="AM100" i="5"/>
  <c r="Z100" i="5"/>
  <c r="K102" i="12"/>
  <c r="G102" i="6"/>
  <c r="H102" i="6"/>
  <c r="T102" i="5" s="1"/>
  <c r="G101" i="12"/>
  <c r="X101" i="5"/>
  <c r="C99" i="6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X97" i="12"/>
  <c r="W97" i="12"/>
  <c r="A102" i="6"/>
  <c r="M102" i="6" s="1"/>
  <c r="N98" i="12"/>
  <c r="AF105" i="5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C110" i="5" s="1"/>
  <c r="F109" i="5"/>
  <c r="K109" i="5"/>
  <c r="A109" i="12"/>
  <c r="G109" i="5"/>
  <c r="AD109" i="5"/>
  <c r="B109" i="6"/>
  <c r="E109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AE110" i="5"/>
  <c r="B110" i="5"/>
  <c r="W110" i="5"/>
  <c r="H110" i="12" s="1"/>
  <c r="E110" i="5"/>
  <c r="AD110" i="5"/>
  <c r="A110" i="12"/>
  <c r="H110" i="5"/>
  <c r="F110" i="5"/>
  <c r="G110" i="5"/>
  <c r="C111" i="5"/>
  <c r="B110" i="6"/>
  <c r="A108" i="6"/>
  <c r="AF111" i="5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M108" i="6"/>
  <c r="BF108" i="6" s="1"/>
  <c r="N105" i="12"/>
  <c r="G111" i="5"/>
  <c r="E111" i="5"/>
  <c r="A111" i="12"/>
  <c r="B111" i="5"/>
  <c r="B111" i="6"/>
  <c r="H111" i="5"/>
  <c r="W111" i="5"/>
  <c r="H111" i="12" s="1"/>
  <c r="AD111" i="5"/>
  <c r="C112" i="5"/>
  <c r="F111" i="5"/>
  <c r="AE111" i="5"/>
  <c r="N111" i="5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U104" i="12" l="1"/>
  <c r="T104" i="12"/>
  <c r="M109" i="6"/>
  <c r="AV109" i="6" s="1"/>
  <c r="X105" i="12"/>
  <c r="AH108" i="6"/>
  <c r="AI108" i="6"/>
  <c r="AO108" i="6"/>
  <c r="AV108" i="6"/>
  <c r="A110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I108" i="12"/>
  <c r="L108" i="5"/>
  <c r="AM108" i="5"/>
  <c r="Z108" i="5"/>
  <c r="AC108" i="5"/>
  <c r="Y106" i="12"/>
  <c r="C107" i="6"/>
  <c r="O107" i="5"/>
  <c r="D111" i="6"/>
  <c r="E111" i="12"/>
  <c r="F111" i="6"/>
  <c r="AO109" i="6" l="1"/>
  <c r="AK109" i="6"/>
  <c r="AU109" i="6"/>
  <c r="BF109" i="6"/>
  <c r="AX109" i="6"/>
  <c r="AP109" i="6"/>
  <c r="AB109" i="6"/>
  <c r="AC109" i="6"/>
  <c r="AD109" i="6"/>
  <c r="AF109" i="6"/>
  <c r="AM109" i="6"/>
  <c r="AY109" i="6"/>
  <c r="BG109" i="6"/>
  <c r="AT109" i="6"/>
  <c r="AS109" i="6"/>
  <c r="BC109" i="6"/>
  <c r="AE109" i="6"/>
  <c r="AJ109" i="6"/>
  <c r="AH109" i="6"/>
  <c r="BA109" i="6"/>
  <c r="AR109" i="6"/>
  <c r="AZ109" i="6"/>
  <c r="BE109" i="6"/>
  <c r="BD109" i="6"/>
  <c r="AI109" i="6"/>
  <c r="BB109" i="6"/>
  <c r="M110" i="6"/>
  <c r="AY110" i="6" s="1"/>
  <c r="AN109" i="6"/>
  <c r="AG109" i="6"/>
  <c r="AQ109" i="6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G110" i="12"/>
  <c r="AA108" i="5"/>
  <c r="AB108" i="5"/>
  <c r="C108" i="6"/>
  <c r="O108" i="5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O110" i="6" l="1"/>
  <c r="AB110" i="6"/>
  <c r="BF110" i="6"/>
  <c r="AQ110" i="6"/>
  <c r="AD110" i="6"/>
  <c r="AU110" i="6"/>
  <c r="AK110" i="6"/>
  <c r="BG110" i="6"/>
  <c r="AE110" i="6"/>
  <c r="AI110" i="6"/>
  <c r="AX110" i="6"/>
  <c r="AN110" i="6"/>
  <c r="AT110" i="6"/>
  <c r="AC110" i="6"/>
  <c r="BB110" i="6"/>
  <c r="AS110" i="6"/>
  <c r="AH110" i="6"/>
  <c r="AM110" i="6"/>
  <c r="AZ110" i="6"/>
  <c r="BE110" i="6"/>
  <c r="BC110" i="6"/>
  <c r="BA110" i="6"/>
  <c r="AV110" i="6"/>
  <c r="BD110" i="6"/>
  <c r="AG110" i="6"/>
  <c r="AR110" i="6"/>
  <c r="AF110" i="6"/>
  <c r="AJ110" i="6"/>
  <c r="AP110" i="6"/>
  <c r="N108" i="12"/>
  <c r="W107" i="12"/>
  <c r="X107" i="12"/>
  <c r="D113" i="6"/>
  <c r="H112" i="6"/>
  <c r="T112" i="5" s="1"/>
  <c r="E108" i="6"/>
  <c r="D108" i="12"/>
  <c r="K112" i="12"/>
  <c r="Y108" i="12"/>
  <c r="U106" i="12"/>
  <c r="T106" i="12"/>
  <c r="V106" i="12"/>
  <c r="G111" i="12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C115" i="5"/>
  <c r="AD114" i="5"/>
  <c r="G114" i="5"/>
  <c r="D114" i="5"/>
  <c r="B114" i="12" s="1"/>
  <c r="H114" i="5"/>
  <c r="N114" i="5"/>
  <c r="E114" i="5"/>
  <c r="B114" i="5"/>
  <c r="J113" i="12"/>
  <c r="L113" i="12"/>
  <c r="A112" i="6"/>
  <c r="M111" i="6"/>
  <c r="AG111" i="6" s="1"/>
  <c r="A113" i="6" l="1"/>
  <c r="AE111" i="6"/>
  <c r="AH111" i="6"/>
  <c r="AB111" i="6"/>
  <c r="AK111" i="6"/>
  <c r="K113" i="12"/>
  <c r="Y109" i="12"/>
  <c r="X109" i="12" s="1"/>
  <c r="AD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09" i="6"/>
  <c r="D109" i="12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G113" i="12"/>
  <c r="X113" i="5"/>
  <c r="I112" i="12"/>
  <c r="AM112" i="5"/>
  <c r="L112" i="5"/>
  <c r="Z112" i="5"/>
  <c r="T108" i="12"/>
  <c r="V108" i="12"/>
  <c r="U108" i="12"/>
  <c r="D115" i="6"/>
  <c r="W116" i="5"/>
  <c r="H116" i="12" s="1"/>
  <c r="AD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J115" i="12"/>
  <c r="L115" i="12"/>
  <c r="AS113" i="6" l="1"/>
  <c r="AJ113" i="6"/>
  <c r="BG113" i="6"/>
  <c r="AP113" i="6"/>
  <c r="AC113" i="6"/>
  <c r="AD113" i="6"/>
  <c r="AH113" i="6"/>
  <c r="BB113" i="6"/>
  <c r="AQ113" i="6"/>
  <c r="BE113" i="6"/>
  <c r="AG113" i="6"/>
  <c r="AU113" i="6"/>
  <c r="AB113" i="6"/>
  <c r="AE113" i="6"/>
  <c r="AI113" i="6"/>
  <c r="BD113" i="6"/>
  <c r="AR113" i="6"/>
  <c r="BF113" i="6"/>
  <c r="BC113" i="6"/>
  <c r="AZ113" i="6"/>
  <c r="AY113" i="6"/>
  <c r="AV113" i="6"/>
  <c r="AT113" i="6"/>
  <c r="AM113" i="6"/>
  <c r="AK113" i="6"/>
  <c r="AF113" i="6"/>
  <c r="BA113" i="6"/>
  <c r="AX113" i="6"/>
  <c r="AN113" i="6"/>
  <c r="V109" i="12"/>
  <c r="U109" i="12"/>
  <c r="M114" i="6"/>
  <c r="AH114" i="6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H115" i="6"/>
  <c r="T115" i="5" s="1"/>
  <c r="AB112" i="5"/>
  <c r="AM113" i="5"/>
  <c r="L113" i="5"/>
  <c r="I113" i="12"/>
  <c r="Z113" i="5"/>
  <c r="A115" i="6"/>
  <c r="K115" i="12"/>
  <c r="G114" i="12"/>
  <c r="X114" i="5"/>
  <c r="J116" i="12"/>
  <c r="L116" i="12"/>
  <c r="C112" i="6"/>
  <c r="C112" i="12"/>
  <c r="AO112" i="12"/>
  <c r="O112" i="12"/>
  <c r="M112" i="12"/>
  <c r="AP114" i="6" l="1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B113" i="5"/>
  <c r="C113" i="6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X116" i="5"/>
  <c r="D118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B115" i="5"/>
  <c r="C115" i="6"/>
  <c r="N114" i="12"/>
  <c r="Y114" i="12"/>
  <c r="L119" i="12"/>
  <c r="J119" i="12"/>
  <c r="H118" i="6"/>
  <c r="T118" i="5" s="1"/>
  <c r="AF121" i="5"/>
  <c r="A119" i="6" l="1"/>
  <c r="M119" i="6" s="1"/>
  <c r="BB119" i="6" s="1"/>
  <c r="BD117" i="6"/>
  <c r="AO117" i="6"/>
  <c r="AC117" i="6"/>
  <c r="AJ117" i="6"/>
  <c r="AB117" i="6"/>
  <c r="BG117" i="6"/>
  <c r="AZ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AB116" i="5"/>
  <c r="I117" i="12"/>
  <c r="AM117" i="5"/>
  <c r="L117" i="5"/>
  <c r="Z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C116" i="12"/>
  <c r="O116" i="12"/>
  <c r="M116" i="12"/>
  <c r="AO116" i="12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Y115" i="12"/>
  <c r="AF122" i="5"/>
  <c r="A120" i="6" l="1"/>
  <c r="M120" i="6" s="1"/>
  <c r="BE120" i="6" s="1"/>
  <c r="Y116" i="12"/>
  <c r="X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C117" i="6"/>
  <c r="C117" i="12"/>
  <c r="AO117" i="12"/>
  <c r="M117" i="12"/>
  <c r="O117" i="12"/>
  <c r="AF123" i="5"/>
  <c r="A121" i="6" l="1"/>
  <c r="M121" i="6" s="1"/>
  <c r="AP121" i="6" s="1"/>
  <c r="W116" i="12"/>
  <c r="V116" i="12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U115" i="12"/>
  <c r="V115" i="12"/>
  <c r="T115" i="12"/>
  <c r="C118" i="12"/>
  <c r="O118" i="12"/>
  <c r="M118" i="12"/>
  <c r="AO118" i="12"/>
  <c r="AF124" i="5"/>
  <c r="U116" i="12" l="1"/>
  <c r="T116" i="12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T118" i="12"/>
  <c r="V118" i="12"/>
  <c r="U118" i="12"/>
  <c r="V117" i="12"/>
  <c r="U117" i="12"/>
  <c r="T117" i="12"/>
  <c r="K123" i="12"/>
  <c r="AB120" i="5"/>
  <c r="C120" i="12"/>
  <c r="AO120" i="12"/>
  <c r="O120" i="12"/>
  <c r="M120" i="12"/>
  <c r="C120" i="6"/>
  <c r="L124" i="12"/>
  <c r="J124" i="12"/>
  <c r="H123" i="6"/>
  <c r="T123" i="5" s="1"/>
  <c r="G123" i="6"/>
  <c r="G122" i="12"/>
  <c r="X122" i="5"/>
  <c r="AF126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N127" i="5"/>
  <c r="AE127" i="5"/>
  <c r="H127" i="5"/>
  <c r="B127" i="5"/>
  <c r="C128" i="5"/>
  <c r="AD127" i="5"/>
  <c r="W127" i="5"/>
  <c r="H127" i="12" s="1"/>
  <c r="E127" i="5"/>
  <c r="F127" i="5"/>
  <c r="R127" i="5"/>
  <c r="B127" i="6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K124" i="6" l="1"/>
  <c r="AF124" i="6"/>
  <c r="BG124" i="6"/>
  <c r="AM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B128" i="5"/>
  <c r="A128" i="12"/>
  <c r="AD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U121" i="12" l="1"/>
  <c r="T121" i="12"/>
  <c r="X122" i="12"/>
  <c r="S129" i="5"/>
  <c r="F129" i="12" s="1"/>
  <c r="AG129" i="5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AJ127" i="6" l="1"/>
  <c r="AZ127" i="6"/>
  <c r="A128" i="6"/>
  <c r="M128" i="6" s="1"/>
  <c r="AG130" i="5"/>
  <c r="S130" i="5"/>
  <c r="F130" i="12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D124" i="12"/>
  <c r="E124" i="6"/>
  <c r="X123" i="12"/>
  <c r="W123" i="12"/>
  <c r="D129" i="6"/>
  <c r="E129" i="12"/>
  <c r="F129" i="6"/>
  <c r="C125" i="12"/>
  <c r="M125" i="12"/>
  <c r="AO125" i="12"/>
  <c r="O125" i="12"/>
  <c r="BF127" i="6"/>
  <c r="AX127" i="6"/>
  <c r="AK127" i="6"/>
  <c r="G127" i="12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W130" i="5"/>
  <c r="H130" i="12" s="1"/>
  <c r="H130" i="5"/>
  <c r="B130" i="5"/>
  <c r="C131" i="5" s="1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B131" i="6"/>
  <c r="AD131" i="5"/>
  <c r="B131" i="5"/>
  <c r="G131" i="5"/>
  <c r="A131" i="12"/>
  <c r="F131" i="5"/>
  <c r="D130" i="6"/>
  <c r="U123" i="12"/>
  <c r="V123" i="12"/>
  <c r="T123" i="12"/>
  <c r="AF132" i="5"/>
  <c r="W125" i="12" l="1"/>
  <c r="T125" i="12" s="1"/>
  <c r="N126" i="12"/>
  <c r="AG132" i="5"/>
  <c r="S132" i="5"/>
  <c r="F132" i="12" s="1"/>
  <c r="M129" i="6"/>
  <c r="AJ129" i="6" s="1"/>
  <c r="H130" i="6"/>
  <c r="T130" i="5" s="1"/>
  <c r="G130" i="6"/>
  <c r="F132" i="5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K130" i="12"/>
  <c r="G129" i="12"/>
  <c r="X129" i="5"/>
  <c r="A130" i="6"/>
  <c r="E131" i="12"/>
  <c r="F131" i="6"/>
  <c r="D131" i="6"/>
  <c r="Y126" i="12"/>
  <c r="E126" i="6"/>
  <c r="D126" i="12"/>
  <c r="U125" i="12" l="1"/>
  <c r="V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BB129" i="6"/>
  <c r="BA129" i="6"/>
  <c r="AH129" i="6"/>
  <c r="BG129" i="6"/>
  <c r="AF129" i="6"/>
  <c r="X126" i="12"/>
  <c r="W126" i="12"/>
  <c r="F132" i="6"/>
  <c r="E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G131" i="6"/>
  <c r="H131" i="6"/>
  <c r="T131" i="5" s="1"/>
  <c r="L129" i="5"/>
  <c r="AM129" i="5"/>
  <c r="I129" i="12"/>
  <c r="Z129" i="5"/>
  <c r="AC129" i="5"/>
  <c r="M130" i="6"/>
  <c r="G130" i="12"/>
  <c r="X130" i="5"/>
  <c r="AP131" i="6" l="1"/>
  <c r="BD131" i="6"/>
  <c r="A132" i="6"/>
  <c r="M132" i="6" s="1"/>
  <c r="BC132" i="6" s="1"/>
  <c r="BB131" i="6"/>
  <c r="AZ131" i="6"/>
  <c r="AO131" i="6"/>
  <c r="AT131" i="6"/>
  <c r="AM131" i="6"/>
  <c r="AH131" i="6"/>
  <c r="AV131" i="6"/>
  <c r="AQ131" i="6"/>
  <c r="BE131" i="6"/>
  <c r="BF131" i="6"/>
  <c r="BG131" i="6"/>
  <c r="G131" i="12"/>
  <c r="AK131" i="6"/>
  <c r="AD131" i="6"/>
  <c r="AE131" i="6"/>
  <c r="L133" i="12"/>
  <c r="J133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A133" i="6" s="1"/>
  <c r="H132" i="6"/>
  <c r="T132" i="5" s="1"/>
  <c r="G132" i="6"/>
  <c r="AH132" i="6" l="1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M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AK132" i="6"/>
  <c r="BG132" i="6"/>
  <c r="BF132" i="6"/>
  <c r="AY132" i="6"/>
  <c r="AG132" i="6"/>
  <c r="AF132" i="6"/>
  <c r="AV132" i="6"/>
  <c r="AX132" i="6"/>
  <c r="AZ132" i="6"/>
  <c r="AP132" i="6"/>
  <c r="G132" i="12"/>
  <c r="D134" i="6"/>
  <c r="A134" i="6" s="1"/>
  <c r="E129" i="6"/>
  <c r="D129" i="12"/>
  <c r="Y129" i="12"/>
  <c r="N130" i="12" l="1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5" i="12"/>
  <c r="J135" i="12"/>
  <c r="H134" i="6"/>
  <c r="T134" i="5" s="1"/>
  <c r="M134" i="6"/>
  <c r="AV134" i="6" s="1"/>
  <c r="E130" i="6"/>
  <c r="D130" i="12"/>
  <c r="B136" i="5"/>
  <c r="K136" i="5"/>
  <c r="W136" i="5"/>
  <c r="H136" i="12" s="1"/>
  <c r="D136" i="5"/>
  <c r="B136" i="12" s="1"/>
  <c r="J136" i="5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AE134" i="6"/>
  <c r="AK134" i="6"/>
  <c r="AZ134" i="6"/>
  <c r="BA134" i="6"/>
  <c r="AJ134" i="6"/>
  <c r="AS134" i="6"/>
  <c r="AF134" i="6"/>
  <c r="AU134" i="6"/>
  <c r="AP134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N137" i="5"/>
  <c r="AD137" i="5"/>
  <c r="E137" i="5"/>
  <c r="C138" i="5"/>
  <c r="AE137" i="5"/>
  <c r="F137" i="5"/>
  <c r="K137" i="5"/>
  <c r="A135" i="6"/>
  <c r="I133" i="12"/>
  <c r="AM133" i="5"/>
  <c r="L133" i="5"/>
  <c r="Z133" i="5"/>
  <c r="D136" i="6"/>
  <c r="J136" i="12"/>
  <c r="L136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U129" i="12"/>
  <c r="T129" i="12"/>
  <c r="V129" i="12"/>
  <c r="A136" i="6" l="1"/>
  <c r="K136" i="12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AF139" i="5"/>
  <c r="M136" i="6" l="1"/>
  <c r="AU136" i="6" s="1"/>
  <c r="AG139" i="5"/>
  <c r="S139" i="5"/>
  <c r="F139" i="12" s="1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B134" i="5"/>
  <c r="C134" i="12"/>
  <c r="O134" i="12"/>
  <c r="AO134" i="12"/>
  <c r="M134" i="12"/>
  <c r="G136" i="12"/>
  <c r="X136" i="5"/>
  <c r="AE135" i="6"/>
  <c r="K137" i="12"/>
  <c r="H137" i="6"/>
  <c r="T137" i="5" s="1"/>
  <c r="C134" i="6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N133" i="12"/>
  <c r="AF140" i="5"/>
  <c r="AM136" i="6" l="1"/>
  <c r="AK136" i="6"/>
  <c r="AB136" i="6"/>
  <c r="BC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H138" i="6"/>
  <c r="T138" i="5" s="1"/>
  <c r="G137" i="12"/>
  <c r="X137" i="5"/>
  <c r="AM136" i="5"/>
  <c r="I136" i="12"/>
  <c r="L136" i="5"/>
  <c r="Z136" i="5"/>
  <c r="Y134" i="12"/>
  <c r="AB135" i="5"/>
  <c r="C135" i="6"/>
  <c r="AF141" i="5"/>
  <c r="T133" i="12" l="1"/>
  <c r="Y135" i="12"/>
  <c r="W135" i="12" s="1"/>
  <c r="U133" i="12"/>
  <c r="M138" i="6"/>
  <c r="AP138" i="6" s="1"/>
  <c r="K139" i="12"/>
  <c r="AG141" i="5"/>
  <c r="S141" i="5"/>
  <c r="F141" i="12" s="1"/>
  <c r="A139" i="6"/>
  <c r="X134" i="12"/>
  <c r="W134" i="12"/>
  <c r="C136" i="6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C136" i="12"/>
  <c r="O136" i="12"/>
  <c r="M136" i="12"/>
  <c r="AO136" i="12"/>
  <c r="AM137" i="5"/>
  <c r="I137" i="12"/>
  <c r="L137" i="5"/>
  <c r="Z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G140" i="6"/>
  <c r="AB137" i="5"/>
  <c r="C137" i="6"/>
  <c r="A140" i="6"/>
  <c r="D141" i="6"/>
  <c r="E141" i="12"/>
  <c r="F141" i="6"/>
  <c r="AF143" i="5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G140" i="12"/>
  <c r="X140" i="5"/>
  <c r="L142" i="12"/>
  <c r="J142" i="12"/>
  <c r="AB138" i="5"/>
  <c r="C138" i="6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T136" i="12" l="1"/>
  <c r="U136" i="12"/>
  <c r="X137" i="12"/>
  <c r="M141" i="6"/>
  <c r="AU141" i="6" s="1"/>
  <c r="A142" i="6"/>
  <c r="M142" i="6" s="1"/>
  <c r="AQ142" i="6" s="1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G145" i="5"/>
  <c r="S145" i="5"/>
  <c r="F145" i="12" s="1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AC142" i="6"/>
  <c r="AB142" i="6"/>
  <c r="AF142" i="6"/>
  <c r="AH142" i="6"/>
  <c r="AI142" i="6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Y140" i="12" l="1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W140" i="12" l="1"/>
  <c r="V140" i="12" s="1"/>
  <c r="AJ143" i="6"/>
  <c r="BB143" i="6"/>
  <c r="BA143" i="6"/>
  <c r="BF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U140" i="12" l="1"/>
  <c r="T140" i="12"/>
  <c r="S148" i="5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N150" i="6" l="1"/>
  <c r="AC150" i="6"/>
  <c r="BD150" i="6"/>
  <c r="AT150" i="6"/>
  <c r="AU150" i="6"/>
  <c r="BA150" i="6"/>
  <c r="BG150" i="6"/>
  <c r="AX150" i="6"/>
  <c r="AS150" i="6"/>
  <c r="AJ150" i="6"/>
  <c r="AK150" i="6"/>
  <c r="AM150" i="6"/>
  <c r="BE150" i="6"/>
  <c r="AD150" i="6"/>
  <c r="BC150" i="6"/>
  <c r="AF150" i="6"/>
  <c r="AY150" i="6"/>
  <c r="AB150" i="6"/>
  <c r="AG150" i="6"/>
  <c r="AP150" i="6"/>
  <c r="AE150" i="6"/>
  <c r="AH150" i="6"/>
  <c r="AV150" i="6"/>
  <c r="AI150" i="6"/>
  <c r="AR150" i="6"/>
  <c r="BF150" i="6"/>
  <c r="AO150" i="6"/>
  <c r="BB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M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U152" i="12" s="1"/>
  <c r="AI156" i="6"/>
  <c r="AV156" i="6"/>
  <c r="AG159" i="5"/>
  <c r="S159" i="5"/>
  <c r="F159" i="12" s="1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V152" i="12" l="1"/>
  <c r="T152" i="12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V154" i="12"/>
  <c r="E160" i="12"/>
  <c r="F160" i="6"/>
  <c r="J160" i="12"/>
  <c r="L160" i="12"/>
  <c r="D160" i="6"/>
  <c r="AF162" i="5"/>
  <c r="T154" i="12" l="1"/>
  <c r="X155" i="12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T176" i="12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N178" i="12" l="1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V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U187" i="12" l="1"/>
  <c r="T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F196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X199" i="12" l="1"/>
  <c r="V198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W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X206" i="12" l="1"/>
  <c r="U205" i="12"/>
  <c r="V205" i="12"/>
  <c r="AG213" i="5"/>
  <c r="S213" i="5"/>
  <c r="F213" i="12" s="1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M211" i="6" l="1"/>
  <c r="AT211" i="6" s="1"/>
  <c r="A212" i="6"/>
  <c r="M212" i="6" s="1"/>
  <c r="AR212" i="6" s="1"/>
  <c r="N208" i="12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AZ211" i="6" l="1"/>
  <c r="AU211" i="6"/>
  <c r="AH211" i="6"/>
  <c r="AY211" i="6"/>
  <c r="AV211" i="6"/>
  <c r="AB211" i="6"/>
  <c r="AN211" i="6"/>
  <c r="AP211" i="6"/>
  <c r="AM211" i="6"/>
  <c r="AJ211" i="6"/>
  <c r="AE211" i="6"/>
  <c r="AQ211" i="6"/>
  <c r="AD211" i="6"/>
  <c r="AI211" i="6"/>
  <c r="BD211" i="6"/>
  <c r="AF211" i="6"/>
  <c r="BA211" i="6"/>
  <c r="BB211" i="6"/>
  <c r="AC211" i="6"/>
  <c r="AR211" i="6"/>
  <c r="AK211" i="6"/>
  <c r="AX211" i="6"/>
  <c r="AO211" i="6"/>
  <c r="AG211" i="6"/>
  <c r="BC211" i="6"/>
  <c r="BF211" i="6"/>
  <c r="BG211" i="6"/>
  <c r="AS211" i="6"/>
  <c r="BE211" i="6"/>
  <c r="W208" i="12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BF223" i="6" l="1"/>
  <c r="X220" i="12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W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X224" i="12" l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U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U236" i="12" l="1"/>
  <c r="T236" i="12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M244" i="6" s="1"/>
  <c r="AU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N241" i="12" l="1"/>
  <c r="BC244" i="6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AG247" i="5"/>
  <c r="S247" i="5"/>
  <c r="F247" i="12" s="1"/>
  <c r="BE244" i="6"/>
  <c r="AK244" i="6"/>
  <c r="AD244" i="6"/>
  <c r="AE244" i="6"/>
  <c r="K245" i="12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H244" i="6"/>
  <c r="AG244" i="6"/>
  <c r="AJ244" i="6"/>
  <c r="AJ243" i="6"/>
  <c r="AD243" i="6"/>
  <c r="AF248" i="5"/>
  <c r="S248" i="5" l="1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M249" i="6"/>
  <c r="BA249" i="6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M254" i="6" s="1"/>
  <c r="AV254" i="6" s="1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A255" i="6" l="1"/>
  <c r="M255" i="6" s="1"/>
  <c r="AQ255" i="6" s="1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C253" i="12"/>
  <c r="AO253" i="12"/>
  <c r="O253" i="12"/>
  <c r="M253" i="12"/>
  <c r="AF259" i="5"/>
  <c r="W252" i="12" l="1"/>
  <c r="V252" i="12" s="1"/>
  <c r="A257" i="6"/>
  <c r="M257" i="6" s="1"/>
  <c r="BG257" i="6" s="1"/>
  <c r="T251" i="12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AF260" i="5"/>
  <c r="U252" i="12" l="1"/>
  <c r="T252" i="12"/>
  <c r="Y254" i="12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U254" i="12" l="1"/>
  <c r="V254" i="12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261" i="6" l="1"/>
  <c r="M261" i="6" s="1"/>
  <c r="BA261" i="6" s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132" i="5" l="1"/>
  <c r="K132" i="5"/>
  <c r="K131" i="5"/>
  <c r="D131" i="5" s="1"/>
  <c r="J131" i="5"/>
  <c r="J127" i="5"/>
  <c r="K127" i="5"/>
  <c r="D127" i="5" s="1"/>
  <c r="J128" i="5"/>
  <c r="K128" i="5"/>
  <c r="D128" i="5" s="1"/>
  <c r="J110" i="5"/>
  <c r="K110" i="5"/>
  <c r="J111" i="5"/>
  <c r="K111" i="5"/>
  <c r="J95" i="5"/>
  <c r="K95" i="5"/>
  <c r="J96" i="5"/>
  <c r="K96" i="5"/>
  <c r="J78" i="5"/>
  <c r="K78" i="5"/>
  <c r="J79" i="5"/>
  <c r="K79" i="5"/>
  <c r="J59" i="5"/>
  <c r="K59" i="5"/>
  <c r="J58" i="5"/>
  <c r="K58" i="5"/>
  <c r="J40" i="5"/>
  <c r="K40" i="5"/>
  <c r="J33" i="5"/>
  <c r="K33" i="5"/>
  <c r="J23" i="5"/>
  <c r="K23" i="5"/>
  <c r="J19" i="5"/>
  <c r="K19" i="5"/>
  <c r="D19" i="5" s="1"/>
  <c r="K18" i="5"/>
  <c r="J18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132" i="5" l="1"/>
  <c r="B132" i="12" s="1"/>
  <c r="D59" i="5"/>
  <c r="B59" i="12" s="1"/>
  <c r="D110" i="5"/>
  <c r="B110" i="12" s="1"/>
  <c r="B131" i="12"/>
  <c r="B128" i="12"/>
  <c r="B127" i="12"/>
  <c r="D111" i="5"/>
  <c r="B111" i="12" s="1"/>
  <c r="D96" i="5"/>
  <c r="B96" i="12" s="1"/>
  <c r="D95" i="5"/>
  <c r="B95" i="12" s="1"/>
  <c r="D79" i="5"/>
  <c r="B79" i="12" s="1"/>
  <c r="D78" i="5"/>
  <c r="B78" i="12" s="1"/>
  <c r="D58" i="5"/>
  <c r="B58" i="12" s="1"/>
  <c r="D40" i="5"/>
  <c r="B40" i="12" s="1"/>
  <c r="D33" i="5"/>
  <c r="B33" i="12" s="1"/>
  <c r="D23" i="5"/>
  <c r="B23" i="12" s="1"/>
  <c r="D18" i="5"/>
  <c r="B18" i="12" s="1"/>
  <c r="B19" i="12"/>
  <c r="AL12" i="13"/>
  <c r="AO12" i="13"/>
  <c r="AO22" i="13"/>
  <c r="AL22" i="13"/>
  <c r="AO23" i="13"/>
  <c r="AL23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K20" i="11"/>
  <c r="J20" i="13" s="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B21" i="13"/>
  <c r="AH21" i="13" s="1"/>
  <c r="C17" i="13"/>
  <c r="G17" i="11"/>
  <c r="F17" i="13" s="1"/>
  <c r="K17" i="11"/>
  <c r="J17" i="13" s="1"/>
  <c r="B12" i="13"/>
  <c r="AH12" i="13" s="1"/>
  <c r="G19" i="11"/>
  <c r="F19" i="13" s="1"/>
  <c r="C19" i="13"/>
  <c r="K19" i="11"/>
  <c r="J19" i="13" s="1"/>
  <c r="K18" i="11"/>
  <c r="J18" i="13" s="1"/>
  <c r="C18" i="13"/>
  <c r="G18" i="11"/>
  <c r="F18" i="13" s="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B15" i="13" s="1"/>
  <c r="AE15" i="13" s="1"/>
  <c r="D17" i="5"/>
  <c r="K16" i="11"/>
  <c r="J16" i="13" s="1"/>
  <c r="C16" i="13"/>
  <c r="C21" i="13"/>
  <c r="K21" i="11"/>
  <c r="J21" i="13" s="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16" i="13"/>
  <c r="AF16" i="13" s="1"/>
  <c r="B19" i="13" l="1"/>
  <c r="AG19" i="13" s="1"/>
  <c r="B18" i="13"/>
  <c r="AH18" i="13" s="1"/>
  <c r="B17" i="13"/>
  <c r="AF17" i="13" s="1"/>
  <c r="X261" i="12"/>
  <c r="F1" i="8"/>
  <c r="B16" i="12"/>
  <c r="AJ23" i="13"/>
  <c r="AN23" i="13"/>
  <c r="AM23" i="13"/>
  <c r="AJ22" i="13"/>
  <c r="AN22" i="13"/>
  <c r="AM22" i="13"/>
  <c r="AM12" i="13"/>
  <c r="AJ12" i="13"/>
  <c r="AK23" i="13"/>
  <c r="AK22" i="13"/>
  <c r="AK12" i="13"/>
  <c r="AN12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B22" i="12"/>
  <c r="B74" i="12"/>
  <c r="Q1" i="8"/>
  <c r="R3" i="8"/>
  <c r="R19" i="8"/>
  <c r="P17" i="8"/>
  <c r="G265" i="12"/>
  <c r="X265" i="5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AC12" i="13"/>
  <c r="AF12" i="13"/>
  <c r="AD21" i="13"/>
  <c r="AF21" i="13"/>
  <c r="K15" i="13"/>
  <c r="Z23" i="11"/>
  <c r="C23" i="11"/>
  <c r="W23" i="11"/>
  <c r="L23" i="13"/>
  <c r="K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K16" i="13"/>
  <c r="B17" i="12"/>
  <c r="B53" i="12"/>
  <c r="X53" i="5"/>
  <c r="I66" i="12"/>
  <c r="AM66" i="5"/>
  <c r="L66" i="5"/>
  <c r="Z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C27" i="9"/>
  <c r="A59" i="9"/>
  <c r="A32" i="9"/>
  <c r="C35" i="9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128" i="5" l="1"/>
  <c r="AC128" i="5" s="1"/>
  <c r="X131" i="5"/>
  <c r="X132" i="5"/>
  <c r="X127" i="5"/>
  <c r="X74" i="5"/>
  <c r="X58" i="5" s="1"/>
  <c r="X78" i="5"/>
  <c r="X79" i="5"/>
  <c r="X43" i="5"/>
  <c r="I43" i="12" s="1"/>
  <c r="X40" i="5"/>
  <c r="X32" i="5" s="1"/>
  <c r="X19" i="5"/>
  <c r="X18" i="5" s="1"/>
  <c r="I18" i="5" s="1"/>
  <c r="AO66" i="12"/>
  <c r="X17" i="5"/>
  <c r="AM17" i="5" s="1"/>
  <c r="L20" i="8"/>
  <c r="E24" i="8" s="1"/>
  <c r="AB66" i="5"/>
  <c r="AH14" i="13"/>
  <c r="AE14" i="13"/>
  <c r="Y263" i="12"/>
  <c r="X263" i="12" s="1"/>
  <c r="W262" i="12"/>
  <c r="X262" i="12"/>
  <c r="D263" i="12"/>
  <c r="E263" i="6"/>
  <c r="C264" i="6"/>
  <c r="O264" i="5"/>
  <c r="P12" i="13"/>
  <c r="N12" i="13"/>
  <c r="D22" i="13"/>
  <c r="P23" i="13"/>
  <c r="N23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AC53" i="5"/>
  <c r="N22" i="13"/>
  <c r="P22" i="13"/>
  <c r="D23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2" i="13"/>
  <c r="V12" i="13"/>
  <c r="O17" i="11" l="1"/>
  <c r="W17" i="11" s="1"/>
  <c r="L74" i="5"/>
  <c r="O74" i="5" s="1"/>
  <c r="X59" i="5"/>
  <c r="L59" i="5" s="1"/>
  <c r="X111" i="5"/>
  <c r="Z111" i="5" s="1"/>
  <c r="L128" i="5"/>
  <c r="C128" i="6" s="1"/>
  <c r="Z128" i="5"/>
  <c r="AM128" i="5"/>
  <c r="I128" i="12"/>
  <c r="C128" i="12" s="1"/>
  <c r="Z74" i="5"/>
  <c r="AM74" i="5"/>
  <c r="AC74" i="5"/>
  <c r="I74" i="12"/>
  <c r="C74" i="12" s="1"/>
  <c r="X110" i="5"/>
  <c r="L132" i="5"/>
  <c r="AM132" i="5"/>
  <c r="I132" i="12"/>
  <c r="Z132" i="5"/>
  <c r="AC132" i="5"/>
  <c r="AC131" i="5"/>
  <c r="Z131" i="5"/>
  <c r="I131" i="12"/>
  <c r="AM131" i="5"/>
  <c r="L131" i="5"/>
  <c r="AM127" i="5"/>
  <c r="L127" i="5"/>
  <c r="Z127" i="5"/>
  <c r="AC127" i="5"/>
  <c r="I127" i="12"/>
  <c r="O21" i="11"/>
  <c r="L128" i="12"/>
  <c r="J128" i="12"/>
  <c r="Z58" i="5"/>
  <c r="AM58" i="5"/>
  <c r="I58" i="12"/>
  <c r="J58" i="12" s="1"/>
  <c r="L58" i="5"/>
  <c r="C58" i="6" s="1"/>
  <c r="AC58" i="5"/>
  <c r="C17" i="11"/>
  <c r="X33" i="5"/>
  <c r="O78" i="12"/>
  <c r="AM79" i="5"/>
  <c r="I79" i="12"/>
  <c r="L79" i="5"/>
  <c r="Z79" i="5"/>
  <c r="AC79" i="5"/>
  <c r="L78" i="5"/>
  <c r="AM78" i="5"/>
  <c r="I78" i="12"/>
  <c r="Z78" i="5"/>
  <c r="AC78" i="5"/>
  <c r="X16" i="5"/>
  <c r="Z16" i="5" s="1"/>
  <c r="N66" i="12"/>
  <c r="Y66" i="12"/>
  <c r="W66" i="12" s="1"/>
  <c r="C43" i="12"/>
  <c r="L43" i="12"/>
  <c r="J43" i="12"/>
  <c r="Z43" i="5"/>
  <c r="AM43" i="5"/>
  <c r="AC43" i="5"/>
  <c r="L43" i="5"/>
  <c r="AM40" i="5"/>
  <c r="L40" i="5"/>
  <c r="I40" i="12"/>
  <c r="Z40" i="5"/>
  <c r="L32" i="5"/>
  <c r="O32" i="5" s="1"/>
  <c r="O16" i="11"/>
  <c r="Z32" i="5"/>
  <c r="AM32" i="5"/>
  <c r="I32" i="12"/>
  <c r="I19" i="5"/>
  <c r="I20" i="5" s="1"/>
  <c r="I21" i="5" s="1"/>
  <c r="I22" i="5" s="1"/>
  <c r="I23" i="5" s="1"/>
  <c r="I24" i="5" s="1"/>
  <c r="L19" i="5"/>
  <c r="Z19" i="5"/>
  <c r="AM19" i="5"/>
  <c r="I19" i="12"/>
  <c r="L18" i="5"/>
  <c r="Z18" i="5"/>
  <c r="AM18" i="5"/>
  <c r="I18" i="12"/>
  <c r="Z17" i="5"/>
  <c r="R17" i="8"/>
  <c r="F17" i="8" s="1"/>
  <c r="I17" i="12"/>
  <c r="C17" i="12" s="1"/>
  <c r="L17" i="5"/>
  <c r="O17" i="5" s="1"/>
  <c r="M53" i="12"/>
  <c r="P20" i="8"/>
  <c r="R22" i="8"/>
  <c r="O20" i="8"/>
  <c r="O53" i="12"/>
  <c r="L23" i="8"/>
  <c r="AB53" i="5"/>
  <c r="AA53" i="5"/>
  <c r="W263" i="12"/>
  <c r="U263" i="12" s="1"/>
  <c r="Y264" i="12"/>
  <c r="X264" i="12" s="1"/>
  <c r="AA265" i="5"/>
  <c r="AB265" i="5"/>
  <c r="C265" i="12"/>
  <c r="AO265" i="12"/>
  <c r="AO78" i="12" s="1"/>
  <c r="O265" i="12"/>
  <c r="M265" i="12"/>
  <c r="M78" i="12" s="1"/>
  <c r="C53" i="12"/>
  <c r="J53" i="12"/>
  <c r="L53" i="12"/>
  <c r="J74" i="12"/>
  <c r="L74" i="12"/>
  <c r="E264" i="6"/>
  <c r="D264" i="12"/>
  <c r="C265" i="6"/>
  <c r="O265" i="5"/>
  <c r="C53" i="6"/>
  <c r="O53" i="5"/>
  <c r="K66" i="12"/>
  <c r="N264" i="12"/>
  <c r="C74" i="6"/>
  <c r="T262" i="12"/>
  <c r="U262" i="12"/>
  <c r="V262" i="12"/>
  <c r="X15" i="5" l="1"/>
  <c r="I15" i="12" s="1"/>
  <c r="L17" i="13"/>
  <c r="D17" i="13" s="1"/>
  <c r="O132" i="12"/>
  <c r="I110" i="12"/>
  <c r="C110" i="12" s="1"/>
  <c r="X95" i="5"/>
  <c r="X96" i="5"/>
  <c r="AM59" i="5"/>
  <c r="AC59" i="5"/>
  <c r="Z59" i="5"/>
  <c r="I59" i="12"/>
  <c r="O128" i="5"/>
  <c r="E128" i="6" s="1"/>
  <c r="O19" i="11"/>
  <c r="C19" i="11" s="1"/>
  <c r="L58" i="12"/>
  <c r="K58" i="12" s="1"/>
  <c r="AM33" i="5"/>
  <c r="X22" i="5"/>
  <c r="X23" i="5"/>
  <c r="AO128" i="12"/>
  <c r="C58" i="12"/>
  <c r="O58" i="5"/>
  <c r="E58" i="6" s="1"/>
  <c r="I111" i="12"/>
  <c r="C111" i="12" s="1"/>
  <c r="AM111" i="5"/>
  <c r="L111" i="5"/>
  <c r="O111" i="5" s="1"/>
  <c r="AC111" i="5"/>
  <c r="O20" i="11"/>
  <c r="L20" i="13" s="1"/>
  <c r="D20" i="13" s="1"/>
  <c r="L110" i="5"/>
  <c r="O110" i="5" s="1"/>
  <c r="AM110" i="5"/>
  <c r="M131" i="12"/>
  <c r="Z110" i="5"/>
  <c r="AC110" i="5"/>
  <c r="AA128" i="5"/>
  <c r="AB128" i="5"/>
  <c r="AB131" i="5"/>
  <c r="L132" i="12"/>
  <c r="J132" i="12"/>
  <c r="C132" i="12"/>
  <c r="O131" i="12"/>
  <c r="C132" i="6"/>
  <c r="O132" i="5"/>
  <c r="AO132" i="12"/>
  <c r="Y132" i="12" s="1"/>
  <c r="AO131" i="12"/>
  <c r="C131" i="6"/>
  <c r="O131" i="5"/>
  <c r="AB132" i="5"/>
  <c r="L131" i="12"/>
  <c r="J131" i="12"/>
  <c r="C131" i="12"/>
  <c r="M132" i="12"/>
  <c r="K128" i="12"/>
  <c r="O79" i="12"/>
  <c r="O127" i="12"/>
  <c r="C127" i="6"/>
  <c r="O127" i="5"/>
  <c r="M127" i="12"/>
  <c r="AB127" i="5"/>
  <c r="AO127" i="12"/>
  <c r="AA127" i="5"/>
  <c r="W21" i="11"/>
  <c r="C21" i="11"/>
  <c r="L21" i="13"/>
  <c r="D21" i="13" s="1"/>
  <c r="O128" i="12"/>
  <c r="J127" i="12"/>
  <c r="L127" i="12"/>
  <c r="C127" i="12"/>
  <c r="M128" i="12"/>
  <c r="L33" i="5"/>
  <c r="C33" i="6" s="1"/>
  <c r="Z33" i="5"/>
  <c r="I33" i="12"/>
  <c r="J33" i="12" s="1"/>
  <c r="J110" i="12"/>
  <c r="L110" i="12"/>
  <c r="L111" i="12"/>
  <c r="Y78" i="12"/>
  <c r="W78" i="12" s="1"/>
  <c r="I16" i="12"/>
  <c r="L16" i="12" s="1"/>
  <c r="AM16" i="5"/>
  <c r="L16" i="5"/>
  <c r="O16" i="5" s="1"/>
  <c r="J17" i="12"/>
  <c r="C78" i="6"/>
  <c r="O78" i="5"/>
  <c r="M79" i="12"/>
  <c r="AB79" i="5"/>
  <c r="AB78" i="5"/>
  <c r="AA74" i="5"/>
  <c r="C79" i="6"/>
  <c r="O79" i="5"/>
  <c r="R14" i="8"/>
  <c r="F15" i="8" s="1"/>
  <c r="L79" i="12"/>
  <c r="J79" i="12"/>
  <c r="C79" i="12"/>
  <c r="O14" i="11"/>
  <c r="C14" i="11" s="1"/>
  <c r="AO79" i="12"/>
  <c r="N78" i="12"/>
  <c r="J78" i="12"/>
  <c r="L78" i="12"/>
  <c r="C78" i="12"/>
  <c r="X66" i="12"/>
  <c r="W264" i="12"/>
  <c r="U264" i="12" s="1"/>
  <c r="K43" i="12"/>
  <c r="J59" i="12"/>
  <c r="L59" i="12"/>
  <c r="C59" i="12"/>
  <c r="C59" i="6"/>
  <c r="O59" i="5"/>
  <c r="C43" i="6"/>
  <c r="O43" i="5"/>
  <c r="E32" i="6"/>
  <c r="D32" i="12"/>
  <c r="C32" i="6"/>
  <c r="J40" i="12"/>
  <c r="L40" i="12"/>
  <c r="C40" i="12"/>
  <c r="C40" i="6"/>
  <c r="L33" i="12"/>
  <c r="Y53" i="12"/>
  <c r="W53" i="12" s="1"/>
  <c r="W16" i="11"/>
  <c r="C16" i="11"/>
  <c r="L16" i="13"/>
  <c r="D16" i="13" s="1"/>
  <c r="C32" i="12"/>
  <c r="J32" i="12"/>
  <c r="L32" i="12"/>
  <c r="I25" i="5"/>
  <c r="O24" i="5"/>
  <c r="F18" i="8"/>
  <c r="T263" i="12"/>
  <c r="V263" i="12"/>
  <c r="J18" i="12"/>
  <c r="L18" i="12"/>
  <c r="C18" i="12"/>
  <c r="C18" i="6"/>
  <c r="O18" i="5"/>
  <c r="H20" i="8" s="1"/>
  <c r="L19" i="12"/>
  <c r="J19" i="12"/>
  <c r="C19" i="12"/>
  <c r="C19" i="6"/>
  <c r="O19" i="5"/>
  <c r="N53" i="12"/>
  <c r="C17" i="6"/>
  <c r="L17" i="12"/>
  <c r="M74" i="12"/>
  <c r="M59" i="12" s="1"/>
  <c r="M15" i="12"/>
  <c r="J15" i="12" s="1"/>
  <c r="O23" i="8"/>
  <c r="E27" i="8"/>
  <c r="R25" i="8"/>
  <c r="P23" i="8"/>
  <c r="K74" i="12"/>
  <c r="Y265" i="12"/>
  <c r="W265" i="12" s="1"/>
  <c r="T66" i="12"/>
  <c r="V66" i="12"/>
  <c r="U66" i="12"/>
  <c r="AB74" i="5"/>
  <c r="D74" i="12"/>
  <c r="E74" i="6"/>
  <c r="E53" i="6"/>
  <c r="D53" i="12"/>
  <c r="D17" i="12"/>
  <c r="E17" i="6"/>
  <c r="H17" i="8"/>
  <c r="D265" i="12"/>
  <c r="E265" i="6"/>
  <c r="AO74" i="12"/>
  <c r="AO59" i="12" s="1"/>
  <c r="K53" i="12"/>
  <c r="N265" i="12"/>
  <c r="O74" i="12"/>
  <c r="D58" i="12" l="1"/>
  <c r="C33" i="12"/>
  <c r="AE73" i="10"/>
  <c r="AE72" i="10" s="1"/>
  <c r="Y73" i="10"/>
  <c r="Y72" i="10" s="1"/>
  <c r="I73" i="10"/>
  <c r="I71" i="10" s="1"/>
  <c r="I70" i="10" s="1"/>
  <c r="Y9" i="10" s="1"/>
  <c r="Z15" i="5"/>
  <c r="K73" i="10"/>
  <c r="K72" i="10" s="1"/>
  <c r="Q73" i="10"/>
  <c r="M73" i="10"/>
  <c r="M72" i="10" s="1"/>
  <c r="U73" i="10"/>
  <c r="U72" i="10" s="1"/>
  <c r="AA73" i="10"/>
  <c r="AA72" i="10" s="1"/>
  <c r="AM15" i="5"/>
  <c r="S73" i="10"/>
  <c r="S72" i="10" s="1"/>
  <c r="O73" i="10"/>
  <c r="AC73" i="10"/>
  <c r="AC72" i="10" s="1"/>
  <c r="W73" i="10"/>
  <c r="W72" i="10" s="1"/>
  <c r="N132" i="12"/>
  <c r="I96" i="12"/>
  <c r="Z96" i="5"/>
  <c r="L96" i="5"/>
  <c r="AM96" i="5"/>
  <c r="AC96" i="5"/>
  <c r="I95" i="12"/>
  <c r="Z95" i="5"/>
  <c r="AM95" i="5"/>
  <c r="AC95" i="5"/>
  <c r="O18" i="11"/>
  <c r="L95" i="5"/>
  <c r="Y128" i="12"/>
  <c r="W128" i="12" s="1"/>
  <c r="O33" i="5"/>
  <c r="E33" i="6" s="1"/>
  <c r="AO110" i="12"/>
  <c r="L19" i="13"/>
  <c r="D19" i="13" s="1"/>
  <c r="J111" i="12"/>
  <c r="K111" i="12" s="1"/>
  <c r="W19" i="11"/>
  <c r="D128" i="12"/>
  <c r="C111" i="6"/>
  <c r="AB111" i="5"/>
  <c r="W20" i="11"/>
  <c r="I23" i="12"/>
  <c r="Z23" i="5"/>
  <c r="L23" i="5"/>
  <c r="AM23" i="5"/>
  <c r="I22" i="12"/>
  <c r="Z22" i="5"/>
  <c r="O15" i="11"/>
  <c r="L22" i="5"/>
  <c r="R23" i="8"/>
  <c r="AM22" i="5"/>
  <c r="C110" i="6"/>
  <c r="N131" i="12"/>
  <c r="AO111" i="12"/>
  <c r="M111" i="12"/>
  <c r="C20" i="11"/>
  <c r="N79" i="12"/>
  <c r="Y79" i="12"/>
  <c r="X79" i="12" s="1"/>
  <c r="AB110" i="5"/>
  <c r="O110" i="12"/>
  <c r="AB21" i="11"/>
  <c r="N21" i="11" s="1"/>
  <c r="M110" i="12"/>
  <c r="W132" i="12"/>
  <c r="X132" i="12"/>
  <c r="D132" i="12"/>
  <c r="E132" i="6"/>
  <c r="Y127" i="12"/>
  <c r="W127" i="12" s="1"/>
  <c r="K131" i="12"/>
  <c r="K132" i="12"/>
  <c r="D131" i="12"/>
  <c r="E131" i="6"/>
  <c r="K127" i="12"/>
  <c r="Y131" i="12"/>
  <c r="J16" i="12"/>
  <c r="K16" i="12" s="1"/>
  <c r="C16" i="12"/>
  <c r="O111" i="12"/>
  <c r="AL21" i="13"/>
  <c r="M21" i="13" s="1"/>
  <c r="AK21" i="13"/>
  <c r="N128" i="12"/>
  <c r="E127" i="6"/>
  <c r="D127" i="12"/>
  <c r="N127" i="12"/>
  <c r="AO21" i="13"/>
  <c r="O21" i="13" s="1"/>
  <c r="AN21" i="13"/>
  <c r="K17" i="12"/>
  <c r="K110" i="12"/>
  <c r="D110" i="12"/>
  <c r="E110" i="6"/>
  <c r="E111" i="6"/>
  <c r="D111" i="12"/>
  <c r="C16" i="6"/>
  <c r="F14" i="8"/>
  <c r="X78" i="12"/>
  <c r="L14" i="13"/>
  <c r="W14" i="11"/>
  <c r="K78" i="12"/>
  <c r="D78" i="12"/>
  <c r="E78" i="6"/>
  <c r="K79" i="12"/>
  <c r="U78" i="12"/>
  <c r="V78" i="12"/>
  <c r="T78" i="12"/>
  <c r="E79" i="6"/>
  <c r="D79" i="12"/>
  <c r="V264" i="12"/>
  <c r="T264" i="12"/>
  <c r="AB58" i="5"/>
  <c r="AB17" i="11" s="1"/>
  <c r="AB59" i="5"/>
  <c r="D59" i="12"/>
  <c r="E59" i="6"/>
  <c r="O58" i="12"/>
  <c r="O59" i="12"/>
  <c r="N59" i="12" s="1"/>
  <c r="K59" i="12"/>
  <c r="X53" i="12"/>
  <c r="M40" i="12"/>
  <c r="M33" i="12" s="1"/>
  <c r="M58" i="12"/>
  <c r="AO43" i="12"/>
  <c r="AO58" i="12"/>
  <c r="D43" i="12"/>
  <c r="E43" i="6"/>
  <c r="M43" i="12"/>
  <c r="O43" i="12"/>
  <c r="AB43" i="5"/>
  <c r="K40" i="12"/>
  <c r="AB40" i="5"/>
  <c r="AB33" i="5" s="1"/>
  <c r="AO40" i="12"/>
  <c r="AO33" i="12" s="1"/>
  <c r="O40" i="12"/>
  <c r="K32" i="12"/>
  <c r="K33" i="12"/>
  <c r="O15" i="12"/>
  <c r="N10" i="12" s="1"/>
  <c r="I26" i="5"/>
  <c r="O25" i="5"/>
  <c r="M19" i="12"/>
  <c r="M18" i="12" s="1"/>
  <c r="D24" i="12"/>
  <c r="E24" i="6"/>
  <c r="K19" i="12"/>
  <c r="AO19" i="12"/>
  <c r="AO18" i="12" s="1"/>
  <c r="E19" i="6"/>
  <c r="D19" i="12"/>
  <c r="D18" i="12"/>
  <c r="E18" i="6"/>
  <c r="K18" i="12"/>
  <c r="AB19" i="5"/>
  <c r="O19" i="12"/>
  <c r="R26" i="8"/>
  <c r="L26" i="8"/>
  <c r="N74" i="12"/>
  <c r="O17" i="12"/>
  <c r="X265" i="12"/>
  <c r="AF14" i="13"/>
  <c r="AC14" i="13"/>
  <c r="V265" i="12"/>
  <c r="U265" i="12"/>
  <c r="T265" i="12"/>
  <c r="AG14" i="13"/>
  <c r="AD14" i="13"/>
  <c r="Y74" i="12"/>
  <c r="D16" i="12"/>
  <c r="E16" i="6"/>
  <c r="H14" i="8"/>
  <c r="T53" i="12"/>
  <c r="V53" i="12"/>
  <c r="U53" i="12"/>
  <c r="I72" i="10" l="1"/>
  <c r="AE9" i="10" s="1"/>
  <c r="M71" i="10"/>
  <c r="M70" i="10" s="1"/>
  <c r="Q71" i="10"/>
  <c r="Q70" i="10" s="1"/>
  <c r="O71" i="10"/>
  <c r="O70" i="10" s="1"/>
  <c r="Y71" i="10"/>
  <c r="Y70" i="10" s="1"/>
  <c r="U71" i="10"/>
  <c r="U70" i="10" s="1"/>
  <c r="AA71" i="10"/>
  <c r="AA70" i="10" s="1"/>
  <c r="O72" i="10"/>
  <c r="AC71" i="10"/>
  <c r="AC70" i="10" s="1"/>
  <c r="Q72" i="10"/>
  <c r="AE71" i="10"/>
  <c r="AE70" i="10" s="1"/>
  <c r="S71" i="10"/>
  <c r="S70" i="10" s="1"/>
  <c r="W71" i="10"/>
  <c r="W70" i="10" s="1"/>
  <c r="K71" i="10"/>
  <c r="K70" i="10" s="1"/>
  <c r="O24" i="11"/>
  <c r="O25" i="11" s="1"/>
  <c r="C95" i="6"/>
  <c r="O95" i="5"/>
  <c r="C18" i="11"/>
  <c r="L18" i="13"/>
  <c r="D18" i="13" s="1"/>
  <c r="W18" i="11"/>
  <c r="AL20" i="13"/>
  <c r="M20" i="13" s="1"/>
  <c r="M95" i="12"/>
  <c r="M96" i="12"/>
  <c r="L95" i="12"/>
  <c r="J95" i="12"/>
  <c r="C95" i="12"/>
  <c r="AO20" i="13"/>
  <c r="O20" i="13" s="1"/>
  <c r="P20" i="13" s="1"/>
  <c r="O96" i="12"/>
  <c r="O95" i="12"/>
  <c r="AB20" i="11"/>
  <c r="N20" i="11" s="1"/>
  <c r="AB95" i="5"/>
  <c r="AB18" i="11" s="1"/>
  <c r="N18" i="11" s="1"/>
  <c r="AB96" i="5"/>
  <c r="C96" i="6"/>
  <c r="O96" i="5"/>
  <c r="AO95" i="12"/>
  <c r="AO96" i="12"/>
  <c r="C96" i="12"/>
  <c r="L96" i="12"/>
  <c r="J96" i="12"/>
  <c r="X127" i="12"/>
  <c r="X128" i="12"/>
  <c r="D33" i="12"/>
  <c r="W79" i="12"/>
  <c r="U79" i="12" s="1"/>
  <c r="AN19" i="13"/>
  <c r="U19" i="13" s="1"/>
  <c r="AO19" i="13"/>
  <c r="O19" i="13" s="1"/>
  <c r="P19" i="13" s="1"/>
  <c r="AL19" i="13"/>
  <c r="M19" i="13" s="1"/>
  <c r="U21" i="13"/>
  <c r="F23" i="8"/>
  <c r="F24" i="8"/>
  <c r="C22" i="6"/>
  <c r="O22" i="5"/>
  <c r="R20" i="8"/>
  <c r="L15" i="13"/>
  <c r="D15" i="13" s="1"/>
  <c r="C15" i="11"/>
  <c r="W15" i="11"/>
  <c r="S21" i="13"/>
  <c r="J22" i="12"/>
  <c r="C22" i="12"/>
  <c r="L22" i="12"/>
  <c r="C23" i="6"/>
  <c r="O23" i="5"/>
  <c r="AK19" i="13"/>
  <c r="L23" i="12"/>
  <c r="C23" i="12"/>
  <c r="J23" i="12"/>
  <c r="AB19" i="11"/>
  <c r="N19" i="11" s="1"/>
  <c r="AK20" i="13"/>
  <c r="S20" i="13" s="1"/>
  <c r="Y111" i="12"/>
  <c r="W111" i="12" s="1"/>
  <c r="U111" i="12" s="1"/>
  <c r="Y110" i="12"/>
  <c r="W110" i="12" s="1"/>
  <c r="N110" i="12"/>
  <c r="V132" i="12"/>
  <c r="T132" i="12"/>
  <c r="U132" i="12"/>
  <c r="X131" i="12"/>
  <c r="W131" i="12"/>
  <c r="N111" i="12"/>
  <c r="AN20" i="13"/>
  <c r="U20" i="13" s="1"/>
  <c r="N21" i="13"/>
  <c r="P21" i="13"/>
  <c r="T127" i="12"/>
  <c r="V127" i="12"/>
  <c r="U127" i="12"/>
  <c r="T128" i="12"/>
  <c r="U128" i="12"/>
  <c r="V128" i="12"/>
  <c r="D14" i="13"/>
  <c r="V14" i="13"/>
  <c r="M32" i="12"/>
  <c r="N40" i="12"/>
  <c r="Y58" i="12"/>
  <c r="X58" i="12" s="1"/>
  <c r="N58" i="12"/>
  <c r="AL17" i="13"/>
  <c r="M17" i="13" s="1"/>
  <c r="AK17" i="13"/>
  <c r="S17" i="13" s="1"/>
  <c r="Y59" i="12"/>
  <c r="AO17" i="13"/>
  <c r="O17" i="13" s="1"/>
  <c r="AN17" i="13"/>
  <c r="U17" i="13" s="1"/>
  <c r="N17" i="11"/>
  <c r="AO32" i="12"/>
  <c r="O32" i="12"/>
  <c r="AB32" i="5"/>
  <c r="N15" i="12"/>
  <c r="L15" i="12"/>
  <c r="K15" i="12" s="1"/>
  <c r="O33" i="12"/>
  <c r="Y33" i="12" s="1"/>
  <c r="N43" i="12"/>
  <c r="Y43" i="12"/>
  <c r="N19" i="12"/>
  <c r="Y40" i="12"/>
  <c r="I27" i="5"/>
  <c r="O26" i="5"/>
  <c r="E25" i="6"/>
  <c r="D25" i="12"/>
  <c r="M17" i="8"/>
  <c r="M14" i="8"/>
  <c r="Q14" i="8" s="1"/>
  <c r="O18" i="12"/>
  <c r="Y18" i="12" s="1"/>
  <c r="AB18" i="5"/>
  <c r="M16" i="12"/>
  <c r="AL14" i="13" s="1"/>
  <c r="M14" i="13" s="1"/>
  <c r="M17" i="12"/>
  <c r="N17" i="12" s="1"/>
  <c r="AO17" i="12"/>
  <c r="Y17" i="12" s="1"/>
  <c r="X17" i="12" s="1"/>
  <c r="AB16" i="5"/>
  <c r="AO16" i="12"/>
  <c r="O16" i="12"/>
  <c r="AO14" i="13" s="1"/>
  <c r="O14" i="13" s="1"/>
  <c r="AB17" i="5"/>
  <c r="Y19" i="12"/>
  <c r="P26" i="8"/>
  <c r="M20" i="8"/>
  <c r="O26" i="8"/>
  <c r="E30" i="8"/>
  <c r="R28" i="8"/>
  <c r="F26" i="8"/>
  <c r="F27" i="8"/>
  <c r="W74" i="12"/>
  <c r="X74" i="12"/>
  <c r="AA7" i="11" l="1"/>
  <c r="N96" i="12"/>
  <c r="N20" i="13"/>
  <c r="S19" i="13"/>
  <c r="K96" i="12"/>
  <c r="K95" i="12"/>
  <c r="Y96" i="12"/>
  <c r="Y95" i="12"/>
  <c r="E96" i="6"/>
  <c r="D96" i="12"/>
  <c r="AL18" i="13"/>
  <c r="M18" i="13" s="1"/>
  <c r="AK18" i="13"/>
  <c r="S18" i="13" s="1"/>
  <c r="AO18" i="13"/>
  <c r="O18" i="13" s="1"/>
  <c r="AN18" i="13"/>
  <c r="U18" i="13" s="1"/>
  <c r="N95" i="12"/>
  <c r="E95" i="6"/>
  <c r="D95" i="12"/>
  <c r="N19" i="13"/>
  <c r="V79" i="12"/>
  <c r="T79" i="12"/>
  <c r="V15" i="13"/>
  <c r="V16" i="13" s="1"/>
  <c r="V17" i="13" s="1"/>
  <c r="V18" i="13" s="1"/>
  <c r="V19" i="13" s="1"/>
  <c r="V20" i="13" s="1"/>
  <c r="V21" i="13" s="1"/>
  <c r="V22" i="13" s="1"/>
  <c r="V23" i="13" s="1"/>
  <c r="I33" i="14" s="1"/>
  <c r="J33" i="14" s="1"/>
  <c r="K33" i="14" s="1"/>
  <c r="L33" i="14" s="1"/>
  <c r="K22" i="12"/>
  <c r="L28" i="13"/>
  <c r="AB16" i="11"/>
  <c r="N16" i="11" s="1"/>
  <c r="AB23" i="5"/>
  <c r="AB22" i="5"/>
  <c r="AB15" i="11" s="1"/>
  <c r="N15" i="11" s="1"/>
  <c r="O22" i="12"/>
  <c r="O23" i="12"/>
  <c r="X110" i="12"/>
  <c r="AO22" i="12"/>
  <c r="AO23" i="12"/>
  <c r="F21" i="8"/>
  <c r="F20" i="8"/>
  <c r="AL16" i="13"/>
  <c r="M16" i="13" s="1"/>
  <c r="M22" i="12"/>
  <c r="M23" i="12"/>
  <c r="K23" i="12"/>
  <c r="D22" i="12"/>
  <c r="E22" i="6"/>
  <c r="H23" i="8"/>
  <c r="H26" i="8"/>
  <c r="D23" i="12"/>
  <c r="E23" i="6"/>
  <c r="AB15" i="5"/>
  <c r="X111" i="12"/>
  <c r="T111" i="12"/>
  <c r="V111" i="12"/>
  <c r="T131" i="12"/>
  <c r="V131" i="12"/>
  <c r="U131" i="12"/>
  <c r="U110" i="12"/>
  <c r="T110" i="12"/>
  <c r="V110" i="12"/>
  <c r="W58" i="12"/>
  <c r="T58" i="12" s="1"/>
  <c r="AK16" i="13"/>
  <c r="S16" i="13" s="1"/>
  <c r="P17" i="13"/>
  <c r="N17" i="13"/>
  <c r="W59" i="12"/>
  <c r="X59" i="12"/>
  <c r="AN16" i="13"/>
  <c r="U16" i="13" s="1"/>
  <c r="N32" i="12"/>
  <c r="Y32" i="12"/>
  <c r="W32" i="12" s="1"/>
  <c r="AO16" i="13"/>
  <c r="O16" i="13" s="1"/>
  <c r="W33" i="12"/>
  <c r="V33" i="12" s="1"/>
  <c r="X33" i="12"/>
  <c r="N33" i="12"/>
  <c r="W43" i="12"/>
  <c r="X43" i="12"/>
  <c r="X40" i="12"/>
  <c r="W40" i="12"/>
  <c r="I28" i="5"/>
  <c r="O27" i="5"/>
  <c r="E26" i="6"/>
  <c r="D26" i="12"/>
  <c r="C14" i="8"/>
  <c r="G15" i="8"/>
  <c r="G14" i="8"/>
  <c r="I15" i="8" s="1"/>
  <c r="B14" i="8"/>
  <c r="E16" i="8"/>
  <c r="W18" i="12"/>
  <c r="X18" i="12"/>
  <c r="N18" i="12"/>
  <c r="Y16" i="12"/>
  <c r="X16" i="12" s="1"/>
  <c r="AK14" i="13"/>
  <c r="S14" i="13" s="1"/>
  <c r="AN14" i="13"/>
  <c r="U14" i="13" s="1"/>
  <c r="AB14" i="11"/>
  <c r="N16" i="12"/>
  <c r="W19" i="12"/>
  <c r="X19" i="12"/>
  <c r="W17" i="12"/>
  <c r="T17" i="12" s="1"/>
  <c r="N14" i="13"/>
  <c r="P14" i="13"/>
  <c r="L29" i="8"/>
  <c r="H29" i="8"/>
  <c r="R29" i="8"/>
  <c r="F29" i="8" s="1"/>
  <c r="V74" i="12"/>
  <c r="U74" i="12"/>
  <c r="T74" i="12"/>
  <c r="P18" i="13" l="1"/>
  <c r="N18" i="13"/>
  <c r="W95" i="12"/>
  <c r="X95" i="12"/>
  <c r="W96" i="12"/>
  <c r="X96" i="12"/>
  <c r="I16" i="14"/>
  <c r="J16" i="14" s="1"/>
  <c r="K16" i="14" s="1"/>
  <c r="L16" i="14" s="1"/>
  <c r="I8" i="14"/>
  <c r="J8" i="14" s="1"/>
  <c r="K8" i="14" s="1"/>
  <c r="L8" i="14" s="1"/>
  <c r="I45" i="14"/>
  <c r="J45" i="14" s="1"/>
  <c r="K45" i="14" s="1"/>
  <c r="L45" i="14" s="1"/>
  <c r="I25" i="14"/>
  <c r="J25" i="14" s="1"/>
  <c r="K25" i="14" s="1"/>
  <c r="L25" i="14" s="1"/>
  <c r="I9" i="14"/>
  <c r="J9" i="14" s="1"/>
  <c r="K9" i="14" s="1"/>
  <c r="L9" i="14" s="1"/>
  <c r="I19" i="14"/>
  <c r="J19" i="14" s="1"/>
  <c r="K19" i="14" s="1"/>
  <c r="L19" i="14" s="1"/>
  <c r="I36" i="14"/>
  <c r="J36" i="14" s="1"/>
  <c r="K36" i="14" s="1"/>
  <c r="L36" i="14" s="1"/>
  <c r="I21" i="14"/>
  <c r="J21" i="14" s="1"/>
  <c r="K21" i="14" s="1"/>
  <c r="L21" i="14" s="1"/>
  <c r="I17" i="14"/>
  <c r="J17" i="14" s="1"/>
  <c r="K17" i="14" s="1"/>
  <c r="L17" i="14" s="1"/>
  <c r="I30" i="14"/>
  <c r="J30" i="14" s="1"/>
  <c r="K30" i="14" s="1"/>
  <c r="L30" i="14" s="1"/>
  <c r="I22" i="14"/>
  <c r="J22" i="14" s="1"/>
  <c r="K22" i="14" s="1"/>
  <c r="L22" i="14" s="1"/>
  <c r="I43" i="14"/>
  <c r="J43" i="14" s="1"/>
  <c r="K43" i="14" s="1"/>
  <c r="L43" i="14" s="1"/>
  <c r="I24" i="14"/>
  <c r="J24" i="14" s="1"/>
  <c r="K24" i="14" s="1"/>
  <c r="L24" i="14" s="1"/>
  <c r="I35" i="14"/>
  <c r="J35" i="14" s="1"/>
  <c r="K35" i="14" s="1"/>
  <c r="L35" i="14" s="1"/>
  <c r="I10" i="14"/>
  <c r="J10" i="14" s="1"/>
  <c r="K10" i="14" s="1"/>
  <c r="L10" i="14" s="1"/>
  <c r="I46" i="14"/>
  <c r="J46" i="14" s="1"/>
  <c r="K46" i="14" s="1"/>
  <c r="L46" i="14" s="1"/>
  <c r="I40" i="14"/>
  <c r="J40" i="14" s="1"/>
  <c r="K40" i="14" s="1"/>
  <c r="L40" i="14" s="1"/>
  <c r="I27" i="14"/>
  <c r="J27" i="14" s="1"/>
  <c r="K27" i="14" s="1"/>
  <c r="L27" i="14" s="1"/>
  <c r="I23" i="14"/>
  <c r="J23" i="14" s="1"/>
  <c r="K23" i="14" s="1"/>
  <c r="L23" i="14" s="1"/>
  <c r="I15" i="14"/>
  <c r="J15" i="14" s="1"/>
  <c r="K15" i="14" s="1"/>
  <c r="L15" i="14" s="1"/>
  <c r="I28" i="14"/>
  <c r="J28" i="14" s="1"/>
  <c r="K28" i="14" s="1"/>
  <c r="L28" i="14" s="1"/>
  <c r="I39" i="14"/>
  <c r="J39" i="14" s="1"/>
  <c r="K39" i="14" s="1"/>
  <c r="L39" i="14" s="1"/>
  <c r="I6" i="14"/>
  <c r="J6" i="14" s="1"/>
  <c r="I7" i="14"/>
  <c r="J7" i="14" s="1"/>
  <c r="K7" i="14" s="1"/>
  <c r="L7" i="14" s="1"/>
  <c r="I41" i="14"/>
  <c r="J41" i="14" s="1"/>
  <c r="K41" i="14" s="1"/>
  <c r="L41" i="14" s="1"/>
  <c r="I32" i="14"/>
  <c r="J32" i="14" s="1"/>
  <c r="K32" i="14" s="1"/>
  <c r="L32" i="14" s="1"/>
  <c r="I29" i="14"/>
  <c r="J29" i="14" s="1"/>
  <c r="K29" i="14" s="1"/>
  <c r="L29" i="14" s="1"/>
  <c r="I44" i="14"/>
  <c r="J44" i="14" s="1"/>
  <c r="K44" i="14" s="1"/>
  <c r="L44" i="14" s="1"/>
  <c r="I38" i="14"/>
  <c r="J38" i="14" s="1"/>
  <c r="K38" i="14" s="1"/>
  <c r="L38" i="14" s="1"/>
  <c r="I18" i="14"/>
  <c r="J18" i="14" s="1"/>
  <c r="K18" i="14" s="1"/>
  <c r="L18" i="14" s="1"/>
  <c r="I26" i="14"/>
  <c r="J26" i="14" s="1"/>
  <c r="K26" i="14" s="1"/>
  <c r="L26" i="14" s="1"/>
  <c r="I12" i="14"/>
  <c r="J12" i="14" s="1"/>
  <c r="K12" i="14" s="1"/>
  <c r="L12" i="14" s="1"/>
  <c r="I42" i="14"/>
  <c r="J42" i="14" s="1"/>
  <c r="K42" i="14" s="1"/>
  <c r="L42" i="14" s="1"/>
  <c r="I34" i="14"/>
  <c r="J34" i="14" s="1"/>
  <c r="K34" i="14" s="1"/>
  <c r="L34" i="14" s="1"/>
  <c r="I20" i="14"/>
  <c r="J20" i="14" s="1"/>
  <c r="K20" i="14" s="1"/>
  <c r="L20" i="14" s="1"/>
  <c r="I37" i="14"/>
  <c r="J37" i="14" s="1"/>
  <c r="K37" i="14" s="1"/>
  <c r="L37" i="14" s="1"/>
  <c r="I13" i="14"/>
  <c r="J13" i="14" s="1"/>
  <c r="K13" i="14" s="1"/>
  <c r="L13" i="14" s="1"/>
  <c r="I14" i="14"/>
  <c r="J14" i="14" s="1"/>
  <c r="K14" i="14" s="1"/>
  <c r="L14" i="14" s="1"/>
  <c r="I11" i="14"/>
  <c r="J11" i="14" s="1"/>
  <c r="K11" i="14" s="1"/>
  <c r="L11" i="14" s="1"/>
  <c r="I31" i="14"/>
  <c r="J31" i="14" s="1"/>
  <c r="K31" i="14" s="1"/>
  <c r="L31" i="14" s="1"/>
  <c r="N16" i="13"/>
  <c r="L24" i="13"/>
  <c r="D33" i="14"/>
  <c r="Y23" i="12"/>
  <c r="Y22" i="12"/>
  <c r="AL15" i="13"/>
  <c r="M15" i="13" s="1"/>
  <c r="AK15" i="13"/>
  <c r="S15" i="13" s="1"/>
  <c r="M27" i="13" s="1"/>
  <c r="N23" i="12"/>
  <c r="AO15" i="13"/>
  <c r="O15" i="13" s="1"/>
  <c r="P15" i="13" s="1"/>
  <c r="N22" i="12"/>
  <c r="AN15" i="13"/>
  <c r="U15" i="13" s="1"/>
  <c r="AD4" i="13" s="1"/>
  <c r="AB24" i="11"/>
  <c r="AB7" i="11" s="1"/>
  <c r="Z3" i="11" s="1"/>
  <c r="AA3" i="11" s="1"/>
  <c r="AA138" i="5" s="1"/>
  <c r="AA136" i="5"/>
  <c r="AA137" i="5"/>
  <c r="AA134" i="5"/>
  <c r="AA135" i="5"/>
  <c r="AA68" i="5"/>
  <c r="AA133" i="5"/>
  <c r="AA119" i="5"/>
  <c r="AA120" i="5"/>
  <c r="AA41" i="5"/>
  <c r="AA42" i="5"/>
  <c r="AA117" i="5"/>
  <c r="AA118" i="5"/>
  <c r="AA115" i="5"/>
  <c r="AA116" i="5"/>
  <c r="AA113" i="5"/>
  <c r="AA114" i="5"/>
  <c r="AA100" i="5"/>
  <c r="AA112" i="5"/>
  <c r="U58" i="12"/>
  <c r="V58" i="12"/>
  <c r="AA83" i="5"/>
  <c r="AA65" i="5"/>
  <c r="AA67" i="5"/>
  <c r="AA66" i="5"/>
  <c r="AA60" i="5"/>
  <c r="X32" i="12"/>
  <c r="T59" i="12"/>
  <c r="V59" i="12"/>
  <c r="U59" i="12"/>
  <c r="AA48" i="5"/>
  <c r="AA49" i="5"/>
  <c r="AA46" i="5"/>
  <c r="AA47" i="5"/>
  <c r="AA44" i="5"/>
  <c r="AA45" i="5"/>
  <c r="AA39" i="5"/>
  <c r="AA36" i="5"/>
  <c r="P16" i="13"/>
  <c r="T33" i="12"/>
  <c r="U33" i="12"/>
  <c r="T32" i="12"/>
  <c r="V32" i="12"/>
  <c r="U32" i="12"/>
  <c r="U43" i="12"/>
  <c r="V43" i="12"/>
  <c r="T43" i="12"/>
  <c r="AA29" i="5"/>
  <c r="AA38" i="5"/>
  <c r="T40" i="12"/>
  <c r="V40" i="12"/>
  <c r="U40" i="12"/>
  <c r="AA35" i="5"/>
  <c r="AA37" i="5"/>
  <c r="AA28" i="5"/>
  <c r="AA34" i="5"/>
  <c r="I29" i="5"/>
  <c r="O28" i="5"/>
  <c r="AA26" i="5"/>
  <c r="AA27" i="5"/>
  <c r="D27" i="12"/>
  <c r="E27" i="6"/>
  <c r="O29" i="8"/>
  <c r="W16" i="12"/>
  <c r="T16" i="12" s="1"/>
  <c r="U18" i="12"/>
  <c r="T18" i="12"/>
  <c r="V18" i="12"/>
  <c r="N14" i="11"/>
  <c r="N24" i="11" s="1"/>
  <c r="N25" i="11" s="1"/>
  <c r="T19" i="12"/>
  <c r="U19" i="12"/>
  <c r="V19" i="12"/>
  <c r="AA17" i="5"/>
  <c r="U17" i="12"/>
  <c r="V17" i="12"/>
  <c r="F30" i="8"/>
  <c r="P29" i="8"/>
  <c r="E33" i="8"/>
  <c r="R31" i="8"/>
  <c r="V96" i="12" l="1"/>
  <c r="T96" i="12"/>
  <c r="U96" i="12"/>
  <c r="V95" i="12"/>
  <c r="T95" i="12"/>
  <c r="U95" i="12"/>
  <c r="AA61" i="5"/>
  <c r="O28" i="13"/>
  <c r="F33" i="14" s="1"/>
  <c r="AA99" i="5"/>
  <c r="W23" i="12"/>
  <c r="X23" i="12"/>
  <c r="W22" i="12"/>
  <c r="X22" i="12"/>
  <c r="AD14" i="11"/>
  <c r="AD12" i="11"/>
  <c r="AA25" i="5"/>
  <c r="AD15" i="11"/>
  <c r="AA24" i="5"/>
  <c r="AD19" i="11"/>
  <c r="AD18" i="11"/>
  <c r="AA82" i="5"/>
  <c r="AD22" i="11"/>
  <c r="AD21" i="11"/>
  <c r="AA19" i="5"/>
  <c r="AA18" i="5" s="1"/>
  <c r="AA80" i="5"/>
  <c r="AA97" i="5"/>
  <c r="AD20" i="11"/>
  <c r="AD23" i="11"/>
  <c r="AE23" i="11" s="1"/>
  <c r="M23" i="11" s="1"/>
  <c r="L23" i="11" s="1"/>
  <c r="AD16" i="11"/>
  <c r="AA98" i="5"/>
  <c r="AD17" i="11"/>
  <c r="AA63" i="5"/>
  <c r="AA62" i="5"/>
  <c r="AA64" i="5"/>
  <c r="N15" i="13"/>
  <c r="K6" i="14" s="1"/>
  <c r="L6" i="14" s="1"/>
  <c r="M28" i="13"/>
  <c r="AA131" i="5"/>
  <c r="AA132" i="5"/>
  <c r="AA111" i="5"/>
  <c r="AA110" i="5"/>
  <c r="AA43" i="5"/>
  <c r="AA40" i="5" s="1"/>
  <c r="AA32" i="5" s="1"/>
  <c r="I30" i="5"/>
  <c r="I31" i="5" s="1"/>
  <c r="I32" i="5" s="1"/>
  <c r="I33" i="5" s="1"/>
  <c r="I34" i="5" s="1"/>
  <c r="I35" i="5" s="1"/>
  <c r="O29" i="5"/>
  <c r="D28" i="12"/>
  <c r="E28" i="6"/>
  <c r="V16" i="12"/>
  <c r="U16" i="12"/>
  <c r="L27" i="13"/>
  <c r="R32" i="8"/>
  <c r="F32" i="8" s="1"/>
  <c r="L32" i="8"/>
  <c r="H32" i="8"/>
  <c r="AA96" i="5" l="1"/>
  <c r="AC27" i="13"/>
  <c r="AA16" i="5"/>
  <c r="AM14" i="13" s="1"/>
  <c r="T14" i="13" s="1"/>
  <c r="P24" i="13"/>
  <c r="G10" i="13" s="1"/>
  <c r="O24" i="13"/>
  <c r="AD6" i="13"/>
  <c r="AE6" i="13" s="1"/>
  <c r="N28" i="13"/>
  <c r="AE4" i="13" s="1"/>
  <c r="O27" i="13" s="1"/>
  <c r="N27" i="13" s="1"/>
  <c r="E32" i="14" s="1"/>
  <c r="AA95" i="5"/>
  <c r="AA58" i="5"/>
  <c r="AA16" i="11" s="1"/>
  <c r="Z16" i="11" s="1"/>
  <c r="AA59" i="5"/>
  <c r="AE20" i="11"/>
  <c r="AE22" i="11"/>
  <c r="M22" i="11" s="1"/>
  <c r="L22" i="11" s="1"/>
  <c r="V23" i="12"/>
  <c r="U23" i="12"/>
  <c r="T23" i="12"/>
  <c r="AE19" i="11"/>
  <c r="AE14" i="11"/>
  <c r="AE18" i="11"/>
  <c r="AE21" i="11"/>
  <c r="AE17" i="11"/>
  <c r="AE16" i="11"/>
  <c r="AE12" i="11"/>
  <c r="M12" i="11" s="1"/>
  <c r="L12" i="11" s="1"/>
  <c r="AE15" i="11"/>
  <c r="AA79" i="5"/>
  <c r="V22" i="12"/>
  <c r="U22" i="12"/>
  <c r="T22" i="12"/>
  <c r="M24" i="13"/>
  <c r="O29" i="13"/>
  <c r="AA78" i="5"/>
  <c r="AA21" i="11"/>
  <c r="Z21" i="11" s="1"/>
  <c r="AM21" i="13"/>
  <c r="AJ21" i="13"/>
  <c r="AA20" i="11"/>
  <c r="Z20" i="11" s="1"/>
  <c r="AJ20" i="13"/>
  <c r="AM20" i="13"/>
  <c r="AA19" i="11"/>
  <c r="Z19" i="11" s="1"/>
  <c r="AM19" i="13"/>
  <c r="AJ19" i="13"/>
  <c r="AA33" i="5"/>
  <c r="O34" i="5"/>
  <c r="E34" i="6" s="1"/>
  <c r="D29" i="12"/>
  <c r="E29" i="6"/>
  <c r="I36" i="5"/>
  <c r="O35" i="5"/>
  <c r="O32" i="8"/>
  <c r="M23" i="8"/>
  <c r="M26" i="8"/>
  <c r="D32" i="14"/>
  <c r="AD27" i="13"/>
  <c r="P32" i="8"/>
  <c r="F33" i="8"/>
  <c r="R34" i="8"/>
  <c r="E36" i="8"/>
  <c r="R19" i="13" l="1"/>
  <c r="T19" i="13"/>
  <c r="T20" i="13"/>
  <c r="R20" i="13"/>
  <c r="AM18" i="13"/>
  <c r="T18" i="13" s="1"/>
  <c r="AJ14" i="13"/>
  <c r="R14" i="13" s="1"/>
  <c r="AJ18" i="13"/>
  <c r="R18" i="13" s="1"/>
  <c r="AA18" i="11"/>
  <c r="Z18" i="11" s="1"/>
  <c r="F32" i="14"/>
  <c r="AA14" i="11"/>
  <c r="M14" i="11" s="1"/>
  <c r="L14" i="11" s="1"/>
  <c r="AJ17" i="13"/>
  <c r="R17" i="13" s="1"/>
  <c r="E33" i="14"/>
  <c r="N24" i="13"/>
  <c r="E34" i="14"/>
  <c r="F34" i="14"/>
  <c r="AM16" i="13"/>
  <c r="T16" i="13" s="1"/>
  <c r="T21" i="13"/>
  <c r="R21" i="13"/>
  <c r="AA15" i="5"/>
  <c r="AM17" i="13"/>
  <c r="T17" i="13" s="1"/>
  <c r="AA23" i="5"/>
  <c r="AA17" i="11"/>
  <c r="AA22" i="5"/>
  <c r="M21" i="11"/>
  <c r="L21" i="11" s="1"/>
  <c r="M20" i="11"/>
  <c r="L20" i="11" s="1"/>
  <c r="AJ16" i="13"/>
  <c r="R16" i="13" s="1"/>
  <c r="M19" i="11"/>
  <c r="L19" i="11" s="1"/>
  <c r="D34" i="12"/>
  <c r="I37" i="5"/>
  <c r="I38" i="5" s="1"/>
  <c r="O36" i="5"/>
  <c r="D35" i="12"/>
  <c r="E35" i="6"/>
  <c r="M16" i="11"/>
  <c r="L16" i="11" s="1"/>
  <c r="I35" i="8"/>
  <c r="H35" i="8"/>
  <c r="R35" i="8"/>
  <c r="F36" i="8" s="1"/>
  <c r="L35" i="8"/>
  <c r="M18" i="11" l="1"/>
  <c r="L18" i="11" s="1"/>
  <c r="Z14" i="11"/>
  <c r="AA15" i="11"/>
  <c r="AM15" i="13"/>
  <c r="T15" i="13" s="1"/>
  <c r="AD3" i="13" s="1"/>
  <c r="AD2" i="13" s="1"/>
  <c r="AJ15" i="13"/>
  <c r="R15" i="13" s="1"/>
  <c r="M26" i="13" s="1"/>
  <c r="Z17" i="11"/>
  <c r="M17" i="11"/>
  <c r="L17" i="11" s="1"/>
  <c r="O37" i="5"/>
  <c r="E37" i="6" s="1"/>
  <c r="E36" i="6"/>
  <c r="D36" i="12"/>
  <c r="I39" i="5"/>
  <c r="O38" i="5"/>
  <c r="O35" i="8"/>
  <c r="P35" i="8"/>
  <c r="F35" i="8"/>
  <c r="R37" i="8"/>
  <c r="E39" i="8"/>
  <c r="M25" i="13" l="1"/>
  <c r="AE3" i="13"/>
  <c r="O26" i="13" s="1"/>
  <c r="N26" i="13" s="1"/>
  <c r="E31" i="14" s="1"/>
  <c r="Z15" i="11"/>
  <c r="Z24" i="11" s="1"/>
  <c r="M15" i="11"/>
  <c r="AA24" i="11"/>
  <c r="D37" i="12"/>
  <c r="I40" i="5"/>
  <c r="O39" i="5"/>
  <c r="D38" i="12"/>
  <c r="E38" i="6"/>
  <c r="H38" i="8"/>
  <c r="L38" i="8"/>
  <c r="P38" i="8" s="1"/>
  <c r="I38" i="8"/>
  <c r="R38" i="8"/>
  <c r="F39" i="8" s="1"/>
  <c r="O25" i="13" l="1"/>
  <c r="F30" i="14" s="1"/>
  <c r="AE2" i="13"/>
  <c r="F31" i="14"/>
  <c r="L15" i="11"/>
  <c r="L24" i="11" s="1"/>
  <c r="M24" i="11"/>
  <c r="I41" i="5"/>
  <c r="O40" i="5"/>
  <c r="D39" i="12"/>
  <c r="E39" i="6"/>
  <c r="F38" i="8"/>
  <c r="O38" i="8"/>
  <c r="R40" i="8"/>
  <c r="E42" i="8"/>
  <c r="N25" i="13" l="1"/>
  <c r="E30" i="14" s="1"/>
  <c r="L25" i="13"/>
  <c r="D30" i="14" s="1"/>
  <c r="L10" i="11"/>
  <c r="M10" i="13" s="1"/>
  <c r="L25" i="11"/>
  <c r="L26" i="13"/>
  <c r="M25" i="11"/>
  <c r="M10" i="11"/>
  <c r="N10" i="13" s="1"/>
  <c r="I42" i="5"/>
  <c r="O41" i="5"/>
  <c r="E40" i="6"/>
  <c r="D40" i="12"/>
  <c r="L41" i="8"/>
  <c r="P41" i="8" s="1"/>
  <c r="H41" i="8"/>
  <c r="I41" i="8"/>
  <c r="R41" i="8"/>
  <c r="F42" i="8" s="1"/>
  <c r="G9" i="11" l="1"/>
  <c r="AD26" i="13"/>
  <c r="AC26" i="13"/>
  <c r="D31" i="14"/>
  <c r="I43" i="5"/>
  <c r="I44" i="5" s="1"/>
  <c r="O42" i="5"/>
  <c r="E41" i="6"/>
  <c r="D41" i="12"/>
  <c r="O41" i="8"/>
  <c r="M35" i="8"/>
  <c r="M29" i="8"/>
  <c r="M32" i="8"/>
  <c r="F41" i="8"/>
  <c r="R43" i="8"/>
  <c r="E45" i="8"/>
  <c r="E42" i="6" l="1"/>
  <c r="D42" i="12"/>
  <c r="I45" i="5"/>
  <c r="O44" i="5"/>
  <c r="H44" i="8"/>
  <c r="I44" i="8"/>
  <c r="R44" i="8"/>
  <c r="F45" i="8" s="1"/>
  <c r="L44" i="8"/>
  <c r="E44" i="6" l="1"/>
  <c r="D44" i="12"/>
  <c r="I46" i="5"/>
  <c r="O45" i="5"/>
  <c r="M38" i="8"/>
  <c r="O44" i="8"/>
  <c r="R46" i="8"/>
  <c r="E48" i="8"/>
  <c r="F44" i="8"/>
  <c r="P44" i="8"/>
  <c r="E45" i="6" l="1"/>
  <c r="D45" i="12"/>
  <c r="O46" i="5"/>
  <c r="I47" i="5"/>
  <c r="O49" i="5"/>
  <c r="L47" i="8"/>
  <c r="H47" i="8"/>
  <c r="R47" i="8"/>
  <c r="F48" i="8" s="1"/>
  <c r="I47" i="8"/>
  <c r="P47" i="8" l="1"/>
  <c r="M41" i="8"/>
  <c r="O47" i="5"/>
  <c r="I48" i="5"/>
  <c r="D46" i="12"/>
  <c r="E46" i="6"/>
  <c r="D49" i="12"/>
  <c r="E49" i="6"/>
  <c r="O47" i="8"/>
  <c r="R49" i="8"/>
  <c r="E51" i="8"/>
  <c r="F47" i="8"/>
  <c r="O48" i="5" l="1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E47" i="6"/>
  <c r="D47" i="12"/>
  <c r="L50" i="8"/>
  <c r="R50" i="8"/>
  <c r="F50" i="8" s="1"/>
  <c r="I50" i="8"/>
  <c r="H50" i="8"/>
  <c r="P50" i="8" l="1"/>
  <c r="I61" i="5"/>
  <c r="O60" i="5"/>
  <c r="D48" i="12"/>
  <c r="E48" i="6"/>
  <c r="M44" i="8"/>
  <c r="O50" i="8"/>
  <c r="F51" i="8"/>
  <c r="R52" i="8"/>
  <c r="E54" i="8"/>
  <c r="D60" i="12" l="1"/>
  <c r="E60" i="6"/>
  <c r="I62" i="5"/>
  <c r="O61" i="5"/>
  <c r="I53" i="8"/>
  <c r="L53" i="8"/>
  <c r="H53" i="8"/>
  <c r="R53" i="8"/>
  <c r="F54" i="8" s="1"/>
  <c r="M47" i="8" l="1"/>
  <c r="E61" i="6"/>
  <c r="D61" i="12"/>
  <c r="I63" i="5"/>
  <c r="O62" i="5"/>
  <c r="P53" i="8"/>
  <c r="O53" i="8"/>
  <c r="F53" i="8"/>
  <c r="E57" i="8"/>
  <c r="R55" i="8"/>
  <c r="E62" i="6" l="1"/>
  <c r="D62" i="12"/>
  <c r="I64" i="5"/>
  <c r="O63" i="5"/>
  <c r="I56" i="8"/>
  <c r="R56" i="8"/>
  <c r="F56" i="8" s="1"/>
  <c r="L56" i="8"/>
  <c r="H56" i="8"/>
  <c r="E63" i="6" l="1"/>
  <c r="D63" i="12"/>
  <c r="I65" i="5"/>
  <c r="O64" i="5"/>
  <c r="M50" i="8"/>
  <c r="O56" i="8"/>
  <c r="P56" i="8"/>
  <c r="F57" i="8"/>
  <c r="R58" i="8"/>
  <c r="E60" i="8"/>
  <c r="D64" i="12" l="1"/>
  <c r="E64" i="6"/>
  <c r="I66" i="5"/>
  <c r="O65" i="5"/>
  <c r="G51" i="8"/>
  <c r="G50" i="8"/>
  <c r="I51" i="8" s="1"/>
  <c r="I59" i="8"/>
  <c r="L59" i="8"/>
  <c r="H59" i="8"/>
  <c r="R59" i="8"/>
  <c r="M53" i="8" l="1"/>
  <c r="D65" i="12"/>
  <c r="E65" i="6"/>
  <c r="I67" i="5"/>
  <c r="O66" i="5"/>
  <c r="P59" i="8"/>
  <c r="O59" i="8"/>
  <c r="F60" i="8"/>
  <c r="F59" i="8"/>
  <c r="R61" i="8"/>
  <c r="E63" i="8"/>
  <c r="E66" i="6" l="1"/>
  <c r="D66" i="12"/>
  <c r="O67" i="5"/>
  <c r="I68" i="5"/>
  <c r="R62" i="8"/>
  <c r="F63" i="8" s="1"/>
  <c r="I62" i="8"/>
  <c r="L62" i="8"/>
  <c r="H62" i="8"/>
  <c r="I69" i="5" l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O80" i="5" s="1"/>
  <c r="O68" i="5"/>
  <c r="D67" i="12"/>
  <c r="E67" i="6"/>
  <c r="M56" i="8"/>
  <c r="M59" i="8"/>
  <c r="O62" i="8"/>
  <c r="P62" i="8"/>
  <c r="N62" i="8"/>
  <c r="F62" i="8"/>
  <c r="E66" i="8"/>
  <c r="R64" i="8"/>
  <c r="I81" i="5" l="1"/>
  <c r="I82" i="5" s="1"/>
  <c r="O82" i="5" s="1"/>
  <c r="D68" i="12"/>
  <c r="E68" i="6"/>
  <c r="D80" i="12"/>
  <c r="E80" i="6"/>
  <c r="G56" i="8"/>
  <c r="I57" i="8" s="1"/>
  <c r="G57" i="8"/>
  <c r="I65" i="8"/>
  <c r="H65" i="8"/>
  <c r="L65" i="8"/>
  <c r="R65" i="8"/>
  <c r="F65" i="8" s="1"/>
  <c r="I83" i="5" l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D82" i="12"/>
  <c r="E82" i="6"/>
  <c r="O65" i="8"/>
  <c r="P65" i="8"/>
  <c r="E69" i="8"/>
  <c r="R67" i="8"/>
  <c r="F66" i="8"/>
  <c r="O83" i="5" l="1"/>
  <c r="E83" i="6" s="1"/>
  <c r="O97" i="5"/>
  <c r="I98" i="5"/>
  <c r="L68" i="8"/>
  <c r="O68" i="8" s="1"/>
  <c r="I68" i="8"/>
  <c r="H68" i="8"/>
  <c r="R68" i="8"/>
  <c r="F69" i="8" s="1"/>
  <c r="D83" i="12" l="1"/>
  <c r="P68" i="8"/>
  <c r="N68" i="8"/>
  <c r="I99" i="5"/>
  <c r="O98" i="5"/>
  <c r="E97" i="6"/>
  <c r="D97" i="12"/>
  <c r="M62" i="8"/>
  <c r="Q62" i="8" s="1"/>
  <c r="M65" i="8"/>
  <c r="F68" i="8"/>
  <c r="G69" i="8"/>
  <c r="G68" i="8"/>
  <c r="I69" i="8" s="1"/>
  <c r="E72" i="8"/>
  <c r="R70" i="8"/>
  <c r="G63" i="8" l="1"/>
  <c r="G62" i="8"/>
  <c r="I63" i="8" s="1"/>
  <c r="D98" i="12"/>
  <c r="E98" i="6"/>
  <c r="I100" i="5"/>
  <c r="O99" i="5"/>
  <c r="C62" i="8"/>
  <c r="B62" i="8"/>
  <c r="E64" i="8"/>
  <c r="R71" i="8"/>
  <c r="F72" i="8" s="1"/>
  <c r="L71" i="8"/>
  <c r="P71" i="8" s="1"/>
  <c r="I71" i="8"/>
  <c r="H71" i="8"/>
  <c r="O71" i="8" l="1"/>
  <c r="E99" i="6"/>
  <c r="D99" i="12"/>
  <c r="O100" i="5"/>
  <c r="I101" i="5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M68" i="8"/>
  <c r="Q68" i="8" s="1"/>
  <c r="E70" i="8" s="1"/>
  <c r="N71" i="8"/>
  <c r="G72" i="8"/>
  <c r="G71" i="8"/>
  <c r="I72" i="8" s="1"/>
  <c r="F71" i="8"/>
  <c r="R73" i="8"/>
  <c r="E75" i="8"/>
  <c r="B68" i="8" l="1"/>
  <c r="C68" i="8"/>
  <c r="Z70" i="8"/>
  <c r="Z68" i="8" s="1"/>
  <c r="U70" i="8"/>
  <c r="U68" i="8" s="1"/>
  <c r="AD70" i="8"/>
  <c r="AD68" i="8" s="1"/>
  <c r="AE70" i="8"/>
  <c r="AE68" i="8" s="1"/>
  <c r="O112" i="5"/>
  <c r="I113" i="5"/>
  <c r="D70" i="8"/>
  <c r="D68" i="8" s="1"/>
  <c r="D100" i="12"/>
  <c r="E100" i="6"/>
  <c r="AA70" i="8"/>
  <c r="AA68" i="8" s="1"/>
  <c r="V70" i="8"/>
  <c r="V68" i="8" s="1"/>
  <c r="T70" i="8"/>
  <c r="T68" i="8" s="1"/>
  <c r="AC70" i="8"/>
  <c r="AC68" i="8" s="1"/>
  <c r="Y70" i="8"/>
  <c r="Y68" i="8" s="1"/>
  <c r="AB70" i="8"/>
  <c r="AB68" i="8" s="1"/>
  <c r="X70" i="8"/>
  <c r="X68" i="8" s="1"/>
  <c r="W70" i="8"/>
  <c r="W68" i="8" s="1"/>
  <c r="M74" i="8"/>
  <c r="N74" i="8"/>
  <c r="O74" i="8"/>
  <c r="L74" i="8"/>
  <c r="H74" i="8"/>
  <c r="I74" i="8"/>
  <c r="R74" i="8"/>
  <c r="F75" i="8" s="1"/>
  <c r="P74" i="8"/>
  <c r="I114" i="5" l="1"/>
  <c r="O113" i="5"/>
  <c r="D112" i="12"/>
  <c r="E112" i="6"/>
  <c r="M71" i="8"/>
  <c r="Q71" i="8" s="1"/>
  <c r="AD73" i="8" s="1"/>
  <c r="AD71" i="8" s="1"/>
  <c r="F74" i="8"/>
  <c r="Q74" i="8"/>
  <c r="E78" i="8"/>
  <c r="R76" i="8"/>
  <c r="G75" i="8"/>
  <c r="G74" i="8"/>
  <c r="I75" i="8" s="1"/>
  <c r="W73" i="8" l="1"/>
  <c r="W71" i="8" s="1"/>
  <c r="T73" i="8"/>
  <c r="T71" i="8" s="1"/>
  <c r="AA73" i="8"/>
  <c r="AA71" i="8" s="1"/>
  <c r="X73" i="8"/>
  <c r="X71" i="8" s="1"/>
  <c r="Y73" i="8"/>
  <c r="Y71" i="8" s="1"/>
  <c r="AB73" i="8"/>
  <c r="AB71" i="8" s="1"/>
  <c r="AC73" i="8"/>
  <c r="AC71" i="8" s="1"/>
  <c r="Z73" i="8"/>
  <c r="Z71" i="8" s="1"/>
  <c r="AE73" i="8"/>
  <c r="AE71" i="8" s="1"/>
  <c r="V73" i="8"/>
  <c r="V71" i="8" s="1"/>
  <c r="D113" i="12"/>
  <c r="E113" i="6"/>
  <c r="U73" i="8"/>
  <c r="U71" i="8" s="1"/>
  <c r="I115" i="5"/>
  <c r="O114" i="5"/>
  <c r="C71" i="8"/>
  <c r="B71" i="8"/>
  <c r="E73" i="8"/>
  <c r="D73" i="8"/>
  <c r="D71" i="8" s="1"/>
  <c r="H77" i="8"/>
  <c r="O77" i="8"/>
  <c r="P77" i="8"/>
  <c r="R77" i="8"/>
  <c r="F77" i="8" s="1"/>
  <c r="L77" i="8"/>
  <c r="N77" i="8"/>
  <c r="M77" i="8"/>
  <c r="I77" i="8"/>
  <c r="E76" i="8"/>
  <c r="B74" i="8"/>
  <c r="C74" i="8"/>
  <c r="D114" i="12" l="1"/>
  <c r="E114" i="6"/>
  <c r="I116" i="5"/>
  <c r="O115" i="5"/>
  <c r="AA76" i="8"/>
  <c r="AA74" i="8" s="1"/>
  <c r="W76" i="8"/>
  <c r="W74" i="8" s="1"/>
  <c r="Y76" i="8"/>
  <c r="Y74" i="8" s="1"/>
  <c r="V76" i="8"/>
  <c r="V74" i="8" s="1"/>
  <c r="AD76" i="8"/>
  <c r="AD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D115" i="12" l="1"/>
  <c r="E115" i="6"/>
  <c r="I117" i="5"/>
  <c r="O116" i="5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X79" i="8"/>
  <c r="X77" i="8" s="1"/>
  <c r="AC79" i="8" l="1"/>
  <c r="AC77" i="8" s="1"/>
  <c r="Z79" i="8"/>
  <c r="Z77" i="8" s="1"/>
  <c r="D116" i="12"/>
  <c r="E116" i="6"/>
  <c r="I118" i="5"/>
  <c r="O117" i="5"/>
  <c r="F80" i="8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D117" i="12" l="1"/>
  <c r="E117" i="6"/>
  <c r="I119" i="5"/>
  <c r="O118" i="5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I120" i="5" l="1"/>
  <c r="O119" i="5"/>
  <c r="E118" i="6"/>
  <c r="D118" i="12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I121" i="5" l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O120" i="5"/>
  <c r="D119" i="12"/>
  <c r="E119" i="6"/>
  <c r="R86" i="8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I134" i="5" l="1"/>
  <c r="O133" i="5"/>
  <c r="E120" i="6"/>
  <c r="D120" i="12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I135" i="5" l="1"/>
  <c r="O134" i="5"/>
  <c r="D133" i="12"/>
  <c r="E133" i="6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AB88" i="8" l="1"/>
  <c r="AB86" i="8" s="1"/>
  <c r="I136" i="5"/>
  <c r="O135" i="5"/>
  <c r="D134" i="12"/>
  <c r="E134" i="6"/>
  <c r="V88" i="8"/>
  <c r="V86" i="8" s="1"/>
  <c r="F90" i="8"/>
  <c r="D88" i="8"/>
  <c r="D86" i="8" s="1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137" i="5" l="1"/>
  <c r="O136" i="5"/>
  <c r="D135" i="12"/>
  <c r="E135" i="6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V91" i="8" l="1"/>
  <c r="V89" i="8" s="1"/>
  <c r="Z91" i="8"/>
  <c r="Z89" i="8" s="1"/>
  <c r="I138" i="5"/>
  <c r="O137" i="5"/>
  <c r="E136" i="6"/>
  <c r="D136" i="12"/>
  <c r="D91" i="8"/>
  <c r="D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I139" i="5" l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38" i="5"/>
  <c r="E137" i="6"/>
  <c r="D137" i="12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D138" i="12"/>
  <c r="E138" i="6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U97" i="8"/>
  <c r="U95" i="8" s="1"/>
  <c r="AE97" i="8"/>
  <c r="AE95" i="8" s="1"/>
  <c r="F98" i="8" l="1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W106" i="8"/>
  <c r="W104" i="8" s="1"/>
  <c r="E106" i="8"/>
  <c r="C104" i="8"/>
  <c r="Y106" i="8" l="1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T109" i="8"/>
  <c r="T107" i="8" s="1"/>
  <c r="U109" i="8"/>
  <c r="U107" i="8" s="1"/>
  <c r="Y109" i="8"/>
  <c r="Y107" i="8" s="1"/>
  <c r="E109" i="8"/>
  <c r="B107" i="8"/>
  <c r="AC109" i="8"/>
  <c r="AC107" i="8" s="1"/>
  <c r="C107" i="8"/>
  <c r="D109" i="8" l="1"/>
  <c r="D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AB118" i="8"/>
  <c r="AB116" i="8" s="1"/>
  <c r="B116" i="8"/>
  <c r="E118" i="8"/>
  <c r="U118" i="8" l="1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X145" i="8"/>
  <c r="X143" i="8" s="1"/>
  <c r="B143" i="8"/>
  <c r="AD145" i="8"/>
  <c r="AD143" i="8" s="1"/>
  <c r="C143" i="8"/>
  <c r="Z145" i="8" l="1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44" i="8" s="1"/>
  <c r="Q44" i="8" s="1"/>
  <c r="P161" i="8"/>
  <c r="I161" i="8"/>
  <c r="M161" i="8"/>
  <c r="H161" i="8"/>
  <c r="R161" i="8"/>
  <c r="AB160" i="8" s="1"/>
  <c r="AB158" i="8" s="1"/>
  <c r="N161" i="8"/>
  <c r="O161" i="8"/>
  <c r="C44" i="8" l="1"/>
  <c r="B44" i="8"/>
  <c r="G45" i="8"/>
  <c r="E46" i="8"/>
  <c r="N56" i="8"/>
  <c r="Q56" i="8" s="1"/>
  <c r="E58" i="8" s="1"/>
  <c r="N50" i="8"/>
  <c r="Q50" i="8" s="1"/>
  <c r="N59" i="8"/>
  <c r="Q59" i="8" s="1"/>
  <c r="G60" i="8" s="1"/>
  <c r="N65" i="8"/>
  <c r="Q65" i="8" s="1"/>
  <c r="N47" i="8"/>
  <c r="Q47" i="8" s="1"/>
  <c r="G48" i="8" s="1"/>
  <c r="N53" i="8"/>
  <c r="Q53" i="8" s="1"/>
  <c r="N38" i="8"/>
  <c r="Q38" i="8" s="1"/>
  <c r="N41" i="8"/>
  <c r="Q41" i="8" s="1"/>
  <c r="N32" i="8"/>
  <c r="Q32" i="8" s="1"/>
  <c r="G33" i="8" s="1"/>
  <c r="N35" i="8"/>
  <c r="Q35" i="8" s="1"/>
  <c r="N26" i="8"/>
  <c r="Q26" i="8" s="1"/>
  <c r="D28" i="8" s="1"/>
  <c r="D26" i="8" s="1"/>
  <c r="N29" i="8"/>
  <c r="Q29" i="8" s="1"/>
  <c r="N23" i="8"/>
  <c r="Q23" i="8" s="1"/>
  <c r="N20" i="8"/>
  <c r="Q20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B56" i="8" l="1"/>
  <c r="C56" i="8"/>
  <c r="C50" i="8"/>
  <c r="E52" i="8"/>
  <c r="B50" i="8"/>
  <c r="G66" i="8"/>
  <c r="C59" i="8"/>
  <c r="D61" i="8"/>
  <c r="Y61" i="8"/>
  <c r="AA61" i="8"/>
  <c r="X61" i="8"/>
  <c r="X58" i="8" s="1"/>
  <c r="X56" i="8" s="1"/>
  <c r="AE61" i="8"/>
  <c r="AE58" i="8" s="1"/>
  <c r="AE56" i="8" s="1"/>
  <c r="B59" i="8"/>
  <c r="AB61" i="8"/>
  <c r="AB58" i="8" s="1"/>
  <c r="AB56" i="8" s="1"/>
  <c r="V61" i="8"/>
  <c r="V58" i="8" s="1"/>
  <c r="V56" i="8" s="1"/>
  <c r="U61" i="8"/>
  <c r="U58" i="8" s="1"/>
  <c r="U56" i="8" s="1"/>
  <c r="E61" i="8"/>
  <c r="Z61" i="8"/>
  <c r="Z58" i="8" s="1"/>
  <c r="Z56" i="8" s="1"/>
  <c r="AC61" i="8"/>
  <c r="T61" i="8"/>
  <c r="AD61" i="8"/>
  <c r="W61" i="8"/>
  <c r="AA67" i="8"/>
  <c r="X67" i="8"/>
  <c r="AB67" i="8"/>
  <c r="AD67" i="8"/>
  <c r="Y67" i="8"/>
  <c r="B65" i="8"/>
  <c r="AC67" i="8"/>
  <c r="C65" i="8"/>
  <c r="Z67" i="8"/>
  <c r="W67" i="8"/>
  <c r="V67" i="8"/>
  <c r="D67" i="8"/>
  <c r="T67" i="8"/>
  <c r="U67" i="8"/>
  <c r="AE67" i="8"/>
  <c r="E67" i="8"/>
  <c r="Y59" i="8"/>
  <c r="Y58" i="8"/>
  <c r="Y56" i="8" s="1"/>
  <c r="AA59" i="8"/>
  <c r="AA58" i="8"/>
  <c r="AA56" i="8" s="1"/>
  <c r="W59" i="8"/>
  <c r="W58" i="8"/>
  <c r="W56" i="8" s="1"/>
  <c r="X59" i="8"/>
  <c r="AE59" i="8"/>
  <c r="AB59" i="8"/>
  <c r="V59" i="8"/>
  <c r="U59" i="8"/>
  <c r="D59" i="8"/>
  <c r="D58" i="8"/>
  <c r="D56" i="8" s="1"/>
  <c r="Z59" i="8"/>
  <c r="AC59" i="8"/>
  <c r="AC58" i="8"/>
  <c r="AC56" i="8" s="1"/>
  <c r="T59" i="8"/>
  <c r="T58" i="8"/>
  <c r="T56" i="8" s="1"/>
  <c r="AD59" i="8"/>
  <c r="AD58" i="8"/>
  <c r="AD56" i="8" s="1"/>
  <c r="G54" i="8"/>
  <c r="C47" i="8"/>
  <c r="E49" i="8"/>
  <c r="B47" i="8"/>
  <c r="AC55" i="8"/>
  <c r="E55" i="8"/>
  <c r="D55" i="8"/>
  <c r="W55" i="8"/>
  <c r="Z55" i="8"/>
  <c r="T55" i="8"/>
  <c r="AD55" i="8"/>
  <c r="C53" i="8"/>
  <c r="B53" i="8"/>
  <c r="AA55" i="8"/>
  <c r="AE55" i="8"/>
  <c r="X55" i="8"/>
  <c r="G42" i="8"/>
  <c r="C38" i="8"/>
  <c r="G39" i="8"/>
  <c r="E40" i="8"/>
  <c r="B38" i="8"/>
  <c r="B41" i="8"/>
  <c r="E43" i="8"/>
  <c r="C41" i="8"/>
  <c r="G36" i="8"/>
  <c r="B32" i="8"/>
  <c r="E34" i="8"/>
  <c r="C32" i="8"/>
  <c r="B35" i="8"/>
  <c r="E37" i="8"/>
  <c r="C35" i="8"/>
  <c r="AB28" i="8"/>
  <c r="AB26" i="8" s="1"/>
  <c r="T28" i="8"/>
  <c r="T26" i="8" s="1"/>
  <c r="AE28" i="8"/>
  <c r="AE26" i="8" s="1"/>
  <c r="AC28" i="8"/>
  <c r="AC26" i="8" s="1"/>
  <c r="C26" i="8"/>
  <c r="X28" i="8"/>
  <c r="X26" i="8" s="1"/>
  <c r="AD28" i="8"/>
  <c r="AD26" i="8" s="1"/>
  <c r="U28" i="8"/>
  <c r="U26" i="8" s="1"/>
  <c r="W28" i="8"/>
  <c r="W26" i="8" s="1"/>
  <c r="B26" i="8"/>
  <c r="V28" i="8"/>
  <c r="V26" i="8" s="1"/>
  <c r="Y28" i="8"/>
  <c r="Y26" i="8" s="1"/>
  <c r="Z28" i="8"/>
  <c r="Z26" i="8" s="1"/>
  <c r="E28" i="8"/>
  <c r="AA28" i="8" s="1"/>
  <c r="AA26" i="8" s="1"/>
  <c r="G27" i="8"/>
  <c r="G30" i="8"/>
  <c r="E31" i="8"/>
  <c r="C29" i="8"/>
  <c r="B29" i="8"/>
  <c r="G24" i="8"/>
  <c r="G23" i="8"/>
  <c r="I24" i="8" s="1"/>
  <c r="C23" i="8"/>
  <c r="B23" i="8"/>
  <c r="E25" i="8"/>
  <c r="G21" i="8"/>
  <c r="U22" i="8"/>
  <c r="U20" i="8" s="1"/>
  <c r="AA22" i="8"/>
  <c r="AA20" i="8" s="1"/>
  <c r="AE22" i="8"/>
  <c r="AE20" i="8" s="1"/>
  <c r="Z22" i="8"/>
  <c r="Z20" i="8" s="1"/>
  <c r="AB22" i="8"/>
  <c r="AB20" i="8" s="1"/>
  <c r="V22" i="8"/>
  <c r="V20" i="8" s="1"/>
  <c r="D22" i="8"/>
  <c r="D20" i="8" s="1"/>
  <c r="W22" i="8"/>
  <c r="W20" i="8" s="1"/>
  <c r="AD22" i="8"/>
  <c r="AD20" i="8" s="1"/>
  <c r="Y22" i="8"/>
  <c r="Y20" i="8" s="1"/>
  <c r="B20" i="8"/>
  <c r="E22" i="8"/>
  <c r="C20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AB55" i="8" l="1"/>
  <c r="V55" i="8"/>
  <c r="U55" i="8"/>
  <c r="Y55" i="8"/>
  <c r="AA34" i="8"/>
  <c r="AA32" i="8" s="1"/>
  <c r="D34" i="8"/>
  <c r="D32" i="8" s="1"/>
  <c r="Y65" i="8"/>
  <c r="Y64" i="8"/>
  <c r="Y62" i="8" s="1"/>
  <c r="AD65" i="8"/>
  <c r="AD64" i="8"/>
  <c r="AD62" i="8" s="1"/>
  <c r="AE65" i="8"/>
  <c r="AE64" i="8"/>
  <c r="AE62" i="8" s="1"/>
  <c r="AB65" i="8"/>
  <c r="AB64" i="8"/>
  <c r="AB62" i="8" s="1"/>
  <c r="U65" i="8"/>
  <c r="U64" i="8"/>
  <c r="U62" i="8" s="1"/>
  <c r="X65" i="8"/>
  <c r="X64" i="8"/>
  <c r="X62" i="8" s="1"/>
  <c r="T65" i="8"/>
  <c r="T64" i="8"/>
  <c r="T62" i="8" s="1"/>
  <c r="AA65" i="8"/>
  <c r="AA64" i="8"/>
  <c r="AA62" i="8" s="1"/>
  <c r="D65" i="8"/>
  <c r="D64" i="8"/>
  <c r="D62" i="8" s="1"/>
  <c r="V65" i="8"/>
  <c r="V64" i="8"/>
  <c r="V62" i="8" s="1"/>
  <c r="W65" i="8"/>
  <c r="W64" i="8"/>
  <c r="W62" i="8" s="1"/>
  <c r="Z65" i="8"/>
  <c r="Z64" i="8"/>
  <c r="Z62" i="8" s="1"/>
  <c r="AC65" i="8"/>
  <c r="AC64" i="8"/>
  <c r="AC62" i="8" s="1"/>
  <c r="G59" i="8"/>
  <c r="I60" i="8" s="1"/>
  <c r="U25" i="8"/>
  <c r="U23" i="8" s="1"/>
  <c r="AD53" i="8"/>
  <c r="AD52" i="8"/>
  <c r="T53" i="8"/>
  <c r="T52" i="8"/>
  <c r="Z53" i="8"/>
  <c r="Z52" i="8"/>
  <c r="W53" i="8"/>
  <c r="W52" i="8"/>
  <c r="X53" i="8"/>
  <c r="X52" i="8"/>
  <c r="Y53" i="8"/>
  <c r="Y52" i="8"/>
  <c r="AE53" i="8"/>
  <c r="AE52" i="8"/>
  <c r="D53" i="8"/>
  <c r="D52" i="8"/>
  <c r="AB53" i="8"/>
  <c r="AB52" i="8"/>
  <c r="AA53" i="8"/>
  <c r="AA52" i="8"/>
  <c r="AC53" i="8"/>
  <c r="AC52" i="8"/>
  <c r="V53" i="8"/>
  <c r="V52" i="8"/>
  <c r="U53" i="8"/>
  <c r="U52" i="8"/>
  <c r="G47" i="8"/>
  <c r="I48" i="8" s="1"/>
  <c r="D31" i="8"/>
  <c r="AA31" i="8"/>
  <c r="AA29" i="8" s="1"/>
  <c r="U40" i="8"/>
  <c r="AE40" i="8"/>
  <c r="Y40" i="8"/>
  <c r="W40" i="8"/>
  <c r="T40" i="8"/>
  <c r="AD40" i="8"/>
  <c r="AA40" i="8"/>
  <c r="V40" i="8"/>
  <c r="X40" i="8"/>
  <c r="AB40" i="8"/>
  <c r="AB38" i="8" s="1"/>
  <c r="D40" i="8"/>
  <c r="Z40" i="8"/>
  <c r="AC40" i="8"/>
  <c r="G35" i="8"/>
  <c r="I36" i="8" s="1"/>
  <c r="Z25" i="8"/>
  <c r="Z23" i="8" s="1"/>
  <c r="AA25" i="8"/>
  <c r="AA23" i="8" s="1"/>
  <c r="AB25" i="8"/>
  <c r="AB23" i="8" s="1"/>
  <c r="AD25" i="8"/>
  <c r="AD23" i="8" s="1"/>
  <c r="G26" i="8"/>
  <c r="I27" i="8" s="1"/>
  <c r="AC25" i="8"/>
  <c r="AC22" i="8" s="1"/>
  <c r="AC20" i="8" s="1"/>
  <c r="G29" i="8"/>
  <c r="I30" i="8" s="1"/>
  <c r="AE25" i="8"/>
  <c r="AE23" i="8" s="1"/>
  <c r="Y16" i="8"/>
  <c r="Y14" i="8" s="1"/>
  <c r="AD16" i="8"/>
  <c r="AD14" i="8" s="1"/>
  <c r="Z19" i="8"/>
  <c r="AA19" i="8"/>
  <c r="AA16" i="8" s="1"/>
  <c r="AA14" i="8" s="1"/>
  <c r="AD17" i="8"/>
  <c r="AB19" i="8"/>
  <c r="AB16" i="8" s="1"/>
  <c r="AB14" i="8" s="1"/>
  <c r="AC19" i="8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Y38" i="8" l="1"/>
  <c r="Y37" i="8"/>
  <c r="U50" i="8"/>
  <c r="U49" i="8"/>
  <c r="AE50" i="8"/>
  <c r="AE49" i="8"/>
  <c r="AD50" i="8"/>
  <c r="AD49" i="8"/>
  <c r="V38" i="8"/>
  <c r="V37" i="8"/>
  <c r="AE38" i="8"/>
  <c r="AE37" i="8"/>
  <c r="V50" i="8"/>
  <c r="V49" i="8"/>
  <c r="Y50" i="8"/>
  <c r="Y49" i="8"/>
  <c r="AC38" i="8"/>
  <c r="AC37" i="8"/>
  <c r="AA38" i="8"/>
  <c r="AA37" i="8"/>
  <c r="AA35" i="8" s="1"/>
  <c r="U38" i="8"/>
  <c r="U37" i="8"/>
  <c r="AC50" i="8"/>
  <c r="AC49" i="8"/>
  <c r="X50" i="8"/>
  <c r="X49" i="8"/>
  <c r="Z38" i="8"/>
  <c r="Z37" i="8"/>
  <c r="AD38" i="8"/>
  <c r="AD37" i="8"/>
  <c r="AA50" i="8"/>
  <c r="AA49" i="8"/>
  <c r="W50" i="8"/>
  <c r="W49" i="8"/>
  <c r="D38" i="8"/>
  <c r="D37" i="8"/>
  <c r="D35" i="8" s="1"/>
  <c r="T38" i="8"/>
  <c r="T37" i="8"/>
  <c r="X38" i="8"/>
  <c r="X37" i="8"/>
  <c r="AB50" i="8"/>
  <c r="AB49" i="8"/>
  <c r="Z50" i="8"/>
  <c r="Z49" i="8"/>
  <c r="W38" i="8"/>
  <c r="W37" i="8"/>
  <c r="D50" i="8"/>
  <c r="D49" i="8"/>
  <c r="T50" i="8"/>
  <c r="T49" i="8"/>
  <c r="AB37" i="8"/>
  <c r="Y25" i="8"/>
  <c r="Y23" i="8" s="1"/>
  <c r="X25" i="8"/>
  <c r="X22" i="8" s="1"/>
  <c r="X20" i="8" s="1"/>
  <c r="V25" i="8"/>
  <c r="V23" i="8" s="1"/>
  <c r="W25" i="8"/>
  <c r="W23" i="8" s="1"/>
  <c r="D29" i="8"/>
  <c r="D25" i="8"/>
  <c r="D23" i="8" s="1"/>
  <c r="T25" i="8"/>
  <c r="T22" i="8" s="1"/>
  <c r="T20" i="8" s="1"/>
  <c r="G20" i="8" s="1"/>
  <c r="I21" i="8" s="1"/>
  <c r="G65" i="8"/>
  <c r="I66" i="8" s="1"/>
  <c r="G53" i="8"/>
  <c r="I54" i="8" s="1"/>
  <c r="G41" i="8"/>
  <c r="I42" i="8" s="1"/>
  <c r="AC16" i="8"/>
  <c r="AC14" i="8" s="1"/>
  <c r="AC23" i="8"/>
  <c r="W16" i="8"/>
  <c r="W14" i="8" s="1"/>
  <c r="AA17" i="8"/>
  <c r="AB17" i="8"/>
  <c r="Z16" i="8"/>
  <c r="Z14" i="8" s="1"/>
  <c r="Z17" i="8"/>
  <c r="AE17" i="8"/>
  <c r="V17" i="8"/>
  <c r="D16" i="8"/>
  <c r="D17" i="8"/>
  <c r="X17" i="8"/>
  <c r="X16" i="8" l="1"/>
  <c r="X14" i="8" s="1"/>
  <c r="AE34" i="8"/>
  <c r="AE35" i="8"/>
  <c r="W34" i="8"/>
  <c r="W35" i="8"/>
  <c r="W46" i="8"/>
  <c r="W47" i="8"/>
  <c r="U34" i="8"/>
  <c r="U35" i="8"/>
  <c r="V34" i="8"/>
  <c r="V35" i="8"/>
  <c r="AA46" i="8"/>
  <c r="AA47" i="8"/>
  <c r="AD46" i="8"/>
  <c r="AD47" i="8"/>
  <c r="Z46" i="8"/>
  <c r="Z47" i="8"/>
  <c r="AB46" i="8"/>
  <c r="AB47" i="8"/>
  <c r="AD34" i="8"/>
  <c r="AD35" i="8"/>
  <c r="AC34" i="8"/>
  <c r="AC35" i="8"/>
  <c r="AE46" i="8"/>
  <c r="AE47" i="8"/>
  <c r="D46" i="8"/>
  <c r="D47" i="8"/>
  <c r="Z34" i="8"/>
  <c r="Z35" i="8"/>
  <c r="Y46" i="8"/>
  <c r="Y47" i="8"/>
  <c r="U46" i="8"/>
  <c r="U47" i="8"/>
  <c r="X34" i="8"/>
  <c r="X35" i="8"/>
  <c r="X23" i="8"/>
  <c r="AB34" i="8"/>
  <c r="AB35" i="8"/>
  <c r="AC46" i="8"/>
  <c r="AC47" i="8"/>
  <c r="T34" i="8"/>
  <c r="T35" i="8"/>
  <c r="X46" i="8"/>
  <c r="X47" i="8"/>
  <c r="V46" i="8"/>
  <c r="V47" i="8"/>
  <c r="Y34" i="8"/>
  <c r="Y35" i="8"/>
  <c r="T46" i="8"/>
  <c r="T47" i="8"/>
  <c r="G38" i="8"/>
  <c r="I39" i="8" s="1"/>
  <c r="T23" i="8"/>
  <c r="T16" i="8"/>
  <c r="T14" i="8" s="1"/>
  <c r="G17" i="8"/>
  <c r="I18" i="8" s="1"/>
  <c r="D14" i="8"/>
  <c r="AE44" i="8" l="1"/>
  <c r="AE43" i="8"/>
  <c r="AE41" i="8" s="1"/>
  <c r="AA44" i="8"/>
  <c r="AA43" i="8"/>
  <c r="AA41" i="8" s="1"/>
  <c r="X32" i="8"/>
  <c r="X31" i="8"/>
  <c r="X29" i="8" s="1"/>
  <c r="AC32" i="8"/>
  <c r="AC31" i="8"/>
  <c r="AC29" i="8" s="1"/>
  <c r="V32" i="8"/>
  <c r="V31" i="8"/>
  <c r="V29" i="8" s="1"/>
  <c r="Y32" i="8"/>
  <c r="Y31" i="8"/>
  <c r="Y29" i="8" s="1"/>
  <c r="V44" i="8"/>
  <c r="V43" i="8"/>
  <c r="V41" i="8" s="1"/>
  <c r="U44" i="8"/>
  <c r="U43" i="8"/>
  <c r="U41" i="8" s="1"/>
  <c r="AD32" i="8"/>
  <c r="AD31" i="8"/>
  <c r="AD29" i="8" s="1"/>
  <c r="U32" i="8"/>
  <c r="U31" i="8"/>
  <c r="U29" i="8" s="1"/>
  <c r="X44" i="8"/>
  <c r="X43" i="8"/>
  <c r="X41" i="8" s="1"/>
  <c r="T44" i="8"/>
  <c r="T43" i="8"/>
  <c r="T41" i="8" s="1"/>
  <c r="Y44" i="8"/>
  <c r="Y43" i="8"/>
  <c r="Y41" i="8" s="1"/>
  <c r="AB44" i="8"/>
  <c r="AB43" i="8"/>
  <c r="AB41" i="8" s="1"/>
  <c r="W44" i="8"/>
  <c r="W43" i="8"/>
  <c r="W41" i="8" s="1"/>
  <c r="T32" i="8"/>
  <c r="T31" i="8"/>
  <c r="T29" i="8" s="1"/>
  <c r="Z32" i="8"/>
  <c r="Z31" i="8"/>
  <c r="Z29" i="8" s="1"/>
  <c r="Z44" i="8"/>
  <c r="Z43" i="8"/>
  <c r="Z41" i="8" s="1"/>
  <c r="W32" i="8"/>
  <c r="W31" i="8"/>
  <c r="W29" i="8" s="1"/>
  <c r="AB32" i="8"/>
  <c r="AB31" i="8"/>
  <c r="AB29" i="8" s="1"/>
  <c r="AC44" i="8"/>
  <c r="AC43" i="8"/>
  <c r="AC41" i="8" s="1"/>
  <c r="D44" i="8"/>
  <c r="D43" i="8"/>
  <c r="AD44" i="8"/>
  <c r="AD43" i="8"/>
  <c r="AD41" i="8" s="1"/>
  <c r="AE32" i="8"/>
  <c r="AE31" i="8"/>
  <c r="AE29" i="8" s="1"/>
  <c r="G44" i="8" l="1"/>
  <c r="I45" i="8" s="1"/>
  <c r="D41" i="8"/>
  <c r="D174" i="8"/>
  <c r="T173" i="8" a="1"/>
  <c r="T173" i="8" s="1"/>
  <c r="T172" i="8" a="1"/>
  <c r="T172" i="8" s="1"/>
  <c r="T174" i="8"/>
  <c r="G32" i="8"/>
  <c r="I33" i="8" s="1"/>
  <c r="U172" i="8" l="1" a="1"/>
  <c r="U172" i="8" s="1"/>
  <c r="T167" i="8"/>
  <c r="U173" i="8" a="1"/>
  <c r="U173" i="8" s="1"/>
  <c r="T168" i="8"/>
  <c r="D170" i="8"/>
  <c r="D169" i="8"/>
  <c r="D165" i="8" s="1"/>
  <c r="T169" i="8"/>
  <c r="T165" i="8" s="1"/>
  <c r="U174" i="8"/>
  <c r="T171" i="8"/>
  <c r="T166" i="8" s="1"/>
  <c r="T170" i="8"/>
  <c r="D172" i="8" a="1"/>
  <c r="D172" i="8" s="1"/>
  <c r="D167" i="8" s="1"/>
  <c r="D173" i="8" a="1"/>
  <c r="D173" i="8" s="1"/>
  <c r="D168" i="8" s="1"/>
  <c r="U171" i="8" l="1"/>
  <c r="U166" i="8" s="1"/>
  <c r="U169" i="8"/>
  <c r="U165" i="8" s="1"/>
  <c r="U170" i="8"/>
  <c r="V174" i="8"/>
  <c r="V173" i="8" a="1"/>
  <c r="V173" i="8" s="1"/>
  <c r="U168" i="8"/>
  <c r="D171" i="8"/>
  <c r="D166" i="8" s="1"/>
  <c r="U167" i="8"/>
  <c r="V172" i="8" a="1"/>
  <c r="V172" i="8" s="1"/>
  <c r="W174" i="8" l="1"/>
  <c r="V171" i="8"/>
  <c r="V166" i="8" s="1"/>
  <c r="V170" i="8"/>
  <c r="V169" i="8"/>
  <c r="V165" i="8" s="1"/>
  <c r="W172" i="8" a="1"/>
  <c r="W172" i="8" s="1"/>
  <c r="V167" i="8"/>
  <c r="V168" i="8"/>
  <c r="W173" i="8" a="1"/>
  <c r="W173" i="8" s="1"/>
  <c r="X172" i="8" l="1" a="1"/>
  <c r="X172" i="8" s="1"/>
  <c r="W167" i="8"/>
  <c r="W168" i="8"/>
  <c r="X173" i="8" a="1"/>
  <c r="X173" i="8" s="1"/>
  <c r="W169" i="8"/>
  <c r="W165" i="8" s="1"/>
  <c r="W171" i="8"/>
  <c r="W166" i="8" s="1"/>
  <c r="W170" i="8"/>
  <c r="X174" i="8"/>
  <c r="X171" i="8" l="1"/>
  <c r="X166" i="8" s="1"/>
  <c r="X169" i="8"/>
  <c r="X165" i="8" s="1"/>
  <c r="X170" i="8"/>
  <c r="Y174" i="8"/>
  <c r="X168" i="8"/>
  <c r="Y173" i="8" a="1"/>
  <c r="Y173" i="8" s="1"/>
  <c r="X167" i="8"/>
  <c r="Y172" i="8" a="1"/>
  <c r="Y172" i="8" s="1"/>
  <c r="Y167" i="8" l="1"/>
  <c r="Z172" i="8" a="1"/>
  <c r="Z172" i="8" s="1"/>
  <c r="Z173" i="8" a="1"/>
  <c r="Z173" i="8" s="1"/>
  <c r="Y168" i="8"/>
  <c r="Y170" i="8"/>
  <c r="Y171" i="8"/>
  <c r="Y166" i="8" s="1"/>
  <c r="Z174" i="8"/>
  <c r="Y169" i="8"/>
  <c r="Y165" i="8" s="1"/>
  <c r="AA174" i="8" l="1"/>
  <c r="Z171" i="8"/>
  <c r="Z166" i="8" s="1"/>
  <c r="Z170" i="8"/>
  <c r="Z169" i="8"/>
  <c r="Z165" i="8" s="1"/>
  <c r="Z167" i="8"/>
  <c r="AA172" i="8" a="1"/>
  <c r="AA172" i="8" s="1"/>
  <c r="AA173" i="8" a="1"/>
  <c r="AA173" i="8" s="1"/>
  <c r="Z168" i="8"/>
  <c r="AB172" i="8" l="1" a="1"/>
  <c r="AB172" i="8" s="1"/>
  <c r="AA167" i="8"/>
  <c r="AA168" i="8"/>
  <c r="AB173" i="8" a="1"/>
  <c r="AB173" i="8" s="1"/>
  <c r="AB174" i="8"/>
  <c r="AA170" i="8"/>
  <c r="AA171" i="8"/>
  <c r="AA166" i="8" s="1"/>
  <c r="AA169" i="8"/>
  <c r="AA165" i="8" s="1"/>
  <c r="AB168" i="8" l="1"/>
  <c r="AC173" i="8" a="1"/>
  <c r="AC173" i="8" s="1"/>
  <c r="AB169" i="8"/>
  <c r="AB165" i="8" s="1"/>
  <c r="AC174" i="8"/>
  <c r="AB170" i="8"/>
  <c r="AB171" i="8"/>
  <c r="AB166" i="8" s="1"/>
  <c r="AC172" i="8" a="1"/>
  <c r="AC172" i="8" s="1"/>
  <c r="AB167" i="8"/>
  <c r="B9" i="9"/>
  <c r="AD172" i="8" l="1" a="1"/>
  <c r="AD172" i="8" s="1"/>
  <c r="AC167" i="8"/>
  <c r="AC170" i="8"/>
  <c r="AC171" i="8"/>
  <c r="AC166" i="8" s="1"/>
  <c r="AD174" i="8"/>
  <c r="AC169" i="8"/>
  <c r="AC165" i="8" s="1"/>
  <c r="AD173" i="8" a="1"/>
  <c r="AD173" i="8" s="1"/>
  <c r="AC168" i="8"/>
  <c r="AD168" i="8" l="1"/>
  <c r="AE173" i="8" a="1"/>
  <c r="AE173" i="8" s="1"/>
  <c r="AE168" i="8" s="1"/>
  <c r="AE174" i="8"/>
  <c r="AD171" i="8"/>
  <c r="AD166" i="8" s="1"/>
  <c r="AD170" i="8"/>
  <c r="AD169" i="8"/>
  <c r="AD165" i="8" s="1"/>
  <c r="AD167" i="8"/>
  <c r="AE172" i="8" a="1"/>
  <c r="AE172" i="8" s="1"/>
  <c r="E22" i="12"/>
  <c r="F22" i="6"/>
  <c r="G22" i="6"/>
  <c r="AE167" i="8" l="1"/>
  <c r="AF172" i="8"/>
  <c r="AE170" i="8"/>
  <c r="AE169" i="8"/>
  <c r="AE165" i="8" s="1"/>
  <c r="AF174" i="8"/>
  <c r="J10" i="8"/>
  <c r="AE171" i="8"/>
  <c r="E23" i="12"/>
  <c r="F23" i="6"/>
  <c r="G23" i="6"/>
  <c r="AE166" i="8" l="1"/>
  <c r="AF171" i="8"/>
  <c r="AF173" i="8" s="1"/>
  <c r="G15" i="11"/>
  <c r="I20" i="8"/>
  <c r="I23" i="8"/>
  <c r="G18" i="6"/>
  <c r="F18" i="6"/>
  <c r="N19" i="6" s="1"/>
  <c r="E18" i="12"/>
  <c r="F15" i="13" l="1"/>
  <c r="I26" i="8"/>
  <c r="N20" i="6"/>
  <c r="N32" i="6"/>
  <c r="N21" i="6"/>
  <c r="N22" i="6"/>
  <c r="N23" i="6"/>
  <c r="N24" i="6"/>
  <c r="N25" i="6"/>
  <c r="N26" i="6"/>
  <c r="N27" i="6"/>
  <c r="N28" i="6"/>
  <c r="N29" i="6"/>
  <c r="N30" i="6"/>
  <c r="N31" i="6"/>
  <c r="C17" i="10" l="1"/>
  <c r="C17" i="9"/>
  <c r="C16" i="10"/>
  <c r="C16" i="9"/>
  <c r="I29" i="8" l="1"/>
  <c r="G16" i="11"/>
  <c r="F16" i="13" s="1"/>
  <c r="I32" i="8"/>
  <c r="E33" i="12"/>
  <c r="F33" i="6"/>
  <c r="E32" i="12"/>
  <c r="F32" i="6"/>
  <c r="N140" i="6" l="1"/>
  <c r="N98" i="6"/>
  <c r="N117" i="6"/>
  <c r="N261" i="6"/>
  <c r="N118" i="6"/>
  <c r="N262" i="6"/>
  <c r="N107" i="6"/>
  <c r="N251" i="6"/>
  <c r="N108" i="6"/>
  <c r="N252" i="6"/>
  <c r="N121" i="6"/>
  <c r="N265" i="6"/>
  <c r="N87" i="6"/>
  <c r="N231" i="6"/>
  <c r="N88" i="6"/>
  <c r="N232" i="6"/>
  <c r="N77" i="6"/>
  <c r="N221" i="6"/>
  <c r="N78" i="6"/>
  <c r="N222" i="6"/>
  <c r="N175" i="6"/>
  <c r="N152" i="6"/>
  <c r="N134" i="6"/>
  <c r="N129" i="6"/>
  <c r="N74" i="6"/>
  <c r="N130" i="6"/>
  <c r="N38" i="6"/>
  <c r="N119" i="6"/>
  <c r="N263" i="6"/>
  <c r="N120" i="6"/>
  <c r="N62" i="6"/>
  <c r="N133" i="6"/>
  <c r="N50" i="6"/>
  <c r="N99" i="6"/>
  <c r="N243" i="6"/>
  <c r="N100" i="6"/>
  <c r="N244" i="6"/>
  <c r="N89" i="6"/>
  <c r="N233" i="6"/>
  <c r="N90" i="6"/>
  <c r="N234" i="6"/>
  <c r="N246" i="6"/>
  <c r="N138" i="6"/>
  <c r="N164" i="6"/>
  <c r="N206" i="6"/>
  <c r="N141" i="6"/>
  <c r="N170" i="6"/>
  <c r="N142" i="6"/>
  <c r="N122" i="6"/>
  <c r="N131" i="6"/>
  <c r="N86" i="6"/>
  <c r="N132" i="6"/>
  <c r="N158" i="6"/>
  <c r="N145" i="6"/>
  <c r="N146" i="6"/>
  <c r="N111" i="6"/>
  <c r="N255" i="6"/>
  <c r="N112" i="6"/>
  <c r="N256" i="6"/>
  <c r="N101" i="6"/>
  <c r="N245" i="6"/>
  <c r="N102" i="6"/>
  <c r="N151" i="6"/>
  <c r="N176" i="6"/>
  <c r="N211" i="6"/>
  <c r="N153" i="6"/>
  <c r="N254" i="6"/>
  <c r="N154" i="6"/>
  <c r="N218" i="6"/>
  <c r="N143" i="6"/>
  <c r="N110" i="6"/>
  <c r="N144" i="6"/>
  <c r="N242" i="6"/>
  <c r="N157" i="6"/>
  <c r="N230" i="6"/>
  <c r="N123" i="6"/>
  <c r="N67" i="6"/>
  <c r="N124" i="6"/>
  <c r="N258" i="6"/>
  <c r="N113" i="6"/>
  <c r="N257" i="6"/>
  <c r="N114" i="6"/>
  <c r="N126" i="6"/>
  <c r="N174" i="6"/>
  <c r="N44" i="6"/>
  <c r="N188" i="6"/>
  <c r="N165" i="6"/>
  <c r="N166" i="6"/>
  <c r="N259" i="6"/>
  <c r="N155" i="6"/>
  <c r="N193" i="6"/>
  <c r="N156" i="6"/>
  <c r="N169" i="6"/>
  <c r="N247" i="6"/>
  <c r="N135" i="6"/>
  <c r="N115" i="6"/>
  <c r="N136" i="6"/>
  <c r="N43" i="6"/>
  <c r="N125" i="6"/>
  <c r="N55" i="6"/>
  <c r="N103" i="6"/>
  <c r="N56" i="6"/>
  <c r="N200" i="6"/>
  <c r="N33" i="6"/>
  <c r="N177" i="6"/>
  <c r="N34" i="6"/>
  <c r="N178" i="6"/>
  <c r="N167" i="6"/>
  <c r="N168" i="6"/>
  <c r="N37" i="6"/>
  <c r="N181" i="6"/>
  <c r="N147" i="6"/>
  <c r="N163" i="6"/>
  <c r="N148" i="6"/>
  <c r="N79" i="6"/>
  <c r="N137" i="6"/>
  <c r="N91" i="6"/>
  <c r="N68" i="6"/>
  <c r="N212" i="6"/>
  <c r="N45" i="6"/>
  <c r="N189" i="6"/>
  <c r="N46" i="6"/>
  <c r="N190" i="6"/>
  <c r="N35" i="6"/>
  <c r="N179" i="6"/>
  <c r="N36" i="6"/>
  <c r="N180" i="6"/>
  <c r="N49" i="6"/>
  <c r="N194" i="6"/>
  <c r="N182" i="6"/>
  <c r="N159" i="6"/>
  <c r="N235" i="6"/>
  <c r="N160" i="6"/>
  <c r="N127" i="6"/>
  <c r="N149" i="6"/>
  <c r="N139" i="6"/>
  <c r="N150" i="6"/>
  <c r="N223" i="6"/>
  <c r="N162" i="6"/>
  <c r="N80" i="6"/>
  <c r="N224" i="6"/>
  <c r="N57" i="6"/>
  <c r="N201" i="6"/>
  <c r="N58" i="6"/>
  <c r="N202" i="6"/>
  <c r="N47" i="6"/>
  <c r="N191" i="6"/>
  <c r="N48" i="6"/>
  <c r="N192" i="6"/>
  <c r="N61" i="6"/>
  <c r="N205" i="6"/>
  <c r="N171" i="6"/>
  <c r="N172" i="6"/>
  <c r="N187" i="6"/>
  <c r="N161" i="6"/>
  <c r="N199" i="6"/>
  <c r="N92" i="6"/>
  <c r="N236" i="6"/>
  <c r="N69" i="6"/>
  <c r="N213" i="6"/>
  <c r="N70" i="6"/>
  <c r="N214" i="6"/>
  <c r="N59" i="6"/>
  <c r="N203" i="6"/>
  <c r="N60" i="6"/>
  <c r="N204" i="6"/>
  <c r="N73" i="6"/>
  <c r="N217" i="6"/>
  <c r="N39" i="6"/>
  <c r="N183" i="6"/>
  <c r="N40" i="6"/>
  <c r="N184" i="6"/>
  <c r="N173" i="6"/>
  <c r="N104" i="6"/>
  <c r="N248" i="6"/>
  <c r="N81" i="6"/>
  <c r="N225" i="6"/>
  <c r="N82" i="6"/>
  <c r="N226" i="6"/>
  <c r="N71" i="6"/>
  <c r="N215" i="6"/>
  <c r="N72" i="6"/>
  <c r="N216" i="6"/>
  <c r="N85" i="6"/>
  <c r="N229" i="6"/>
  <c r="N51" i="6"/>
  <c r="N195" i="6"/>
  <c r="N52" i="6"/>
  <c r="N196" i="6"/>
  <c r="N41" i="6"/>
  <c r="N185" i="6"/>
  <c r="N42" i="6"/>
  <c r="N186" i="6"/>
  <c r="N116" i="6"/>
  <c r="N260" i="6"/>
  <c r="N93" i="6"/>
  <c r="N237" i="6"/>
  <c r="N94" i="6"/>
  <c r="N238" i="6"/>
  <c r="N83" i="6"/>
  <c r="N227" i="6"/>
  <c r="N84" i="6"/>
  <c r="N228" i="6"/>
  <c r="N97" i="6"/>
  <c r="N241" i="6"/>
  <c r="N63" i="6"/>
  <c r="N207" i="6"/>
  <c r="N64" i="6"/>
  <c r="N208" i="6"/>
  <c r="N53" i="6"/>
  <c r="N197" i="6"/>
  <c r="N54" i="6"/>
  <c r="N198" i="6"/>
  <c r="N128" i="6"/>
  <c r="N264" i="6"/>
  <c r="N105" i="6"/>
  <c r="N249" i="6"/>
  <c r="N106" i="6"/>
  <c r="N250" i="6"/>
  <c r="N95" i="6"/>
  <c r="N239" i="6"/>
  <c r="N96" i="6"/>
  <c r="N240" i="6"/>
  <c r="N109" i="6"/>
  <c r="N253" i="6"/>
  <c r="N75" i="6"/>
  <c r="N219" i="6"/>
  <c r="N76" i="6"/>
  <c r="N220" i="6"/>
  <c r="N65" i="6"/>
  <c r="N209" i="6"/>
  <c r="N66" i="6"/>
  <c r="N210" i="6"/>
  <c r="C24" i="9" l="1"/>
  <c r="C24" i="10"/>
  <c r="C23" i="9"/>
  <c r="C23" i="10"/>
  <c r="C22" i="10"/>
  <c r="C22" i="9"/>
  <c r="C21" i="10"/>
  <c r="C21" i="9"/>
  <c r="C20" i="10"/>
  <c r="C20" i="9"/>
  <c r="C19" i="9"/>
  <c r="C19" i="10"/>
  <c r="C18" i="10"/>
  <c r="C18" i="9"/>
  <c r="AF81" i="5"/>
  <c r="AF49" i="5"/>
  <c r="R49" i="5" l="1"/>
  <c r="S49" i="5"/>
  <c r="AG49" i="5"/>
  <c r="R81" i="5"/>
  <c r="AG81" i="5"/>
  <c r="S81" i="5"/>
  <c r="F81" i="12" l="1"/>
  <c r="G81" i="6"/>
  <c r="AC81" i="5"/>
  <c r="E81" i="12"/>
  <c r="F81" i="6"/>
  <c r="G49" i="6"/>
  <c r="F49" i="12"/>
  <c r="F49" i="6"/>
  <c r="E49" i="12"/>
  <c r="AC49" i="5"/>
  <c r="AF47" i="5"/>
  <c r="AF116" i="5"/>
  <c r="AF67" i="5"/>
  <c r="AF66" i="5"/>
  <c r="AF83" i="5"/>
  <c r="AF44" i="5"/>
  <c r="AF65" i="5"/>
  <c r="AF38" i="5"/>
  <c r="AF120" i="5"/>
  <c r="AF119" i="5"/>
  <c r="AF136" i="5"/>
  <c r="AF60" i="5"/>
  <c r="AF113" i="5"/>
  <c r="AF135" i="5"/>
  <c r="AF46" i="5"/>
  <c r="AF118" i="5"/>
  <c r="AF100" i="5"/>
  <c r="AF40" i="5"/>
  <c r="AF45" i="5"/>
  <c r="AF114" i="5"/>
  <c r="AF117" i="5"/>
  <c r="AF42" i="5"/>
  <c r="AF48" i="5"/>
  <c r="AF68" i="5"/>
  <c r="AF41" i="5"/>
  <c r="AF133" i="5"/>
  <c r="AF138" i="5"/>
  <c r="AF39" i="5"/>
  <c r="AF137" i="5"/>
  <c r="AF115" i="5"/>
  <c r="AF112" i="5"/>
  <c r="AF134" i="5"/>
  <c r="AG138" i="5" l="1"/>
  <c r="S138" i="5"/>
  <c r="R138" i="5"/>
  <c r="AC23" i="5"/>
  <c r="R67" i="5"/>
  <c r="R65" i="5"/>
  <c r="R114" i="5"/>
  <c r="S44" i="5"/>
  <c r="AG118" i="5"/>
  <c r="R112" i="5"/>
  <c r="S48" i="5"/>
  <c r="AG45" i="5"/>
  <c r="S60" i="5"/>
  <c r="AG115" i="5"/>
  <c r="AG133" i="5"/>
  <c r="S116" i="5"/>
  <c r="AG114" i="5"/>
  <c r="R44" i="5"/>
  <c r="S118" i="5"/>
  <c r="AG112" i="5"/>
  <c r="AG48" i="5"/>
  <c r="S45" i="5"/>
  <c r="R60" i="5"/>
  <c r="R115" i="5"/>
  <c r="S133" i="5"/>
  <c r="AG116" i="5"/>
  <c r="S114" i="5"/>
  <c r="AG44" i="5"/>
  <c r="R118" i="5"/>
  <c r="S112" i="5"/>
  <c r="R48" i="5"/>
  <c r="R45" i="5"/>
  <c r="AG60" i="5"/>
  <c r="S115" i="5"/>
  <c r="R133" i="5"/>
  <c r="R116" i="5"/>
  <c r="AG65" i="5"/>
  <c r="AG100" i="5"/>
  <c r="S67" i="5"/>
  <c r="R68" i="5"/>
  <c r="S136" i="5"/>
  <c r="R42" i="5"/>
  <c r="R46" i="5"/>
  <c r="R134" i="5"/>
  <c r="S100" i="5"/>
  <c r="AG67" i="5"/>
  <c r="AG68" i="5"/>
  <c r="AG136" i="5"/>
  <c r="AG42" i="5"/>
  <c r="S46" i="5"/>
  <c r="S134" i="5"/>
  <c r="S65" i="5"/>
  <c r="R100" i="5"/>
  <c r="S68" i="5"/>
  <c r="R136" i="5"/>
  <c r="S42" i="5"/>
  <c r="AG46" i="5"/>
  <c r="AG134" i="5"/>
  <c r="AG40" i="5"/>
  <c r="AG39" i="5"/>
  <c r="S117" i="5"/>
  <c r="AG47" i="5"/>
  <c r="S66" i="5"/>
  <c r="AG113" i="5"/>
  <c r="AG135" i="5"/>
  <c r="S41" i="5"/>
  <c r="S40" i="5"/>
  <c r="R39" i="5"/>
  <c r="R117" i="5"/>
  <c r="R47" i="5"/>
  <c r="R66" i="5"/>
  <c r="R113" i="5"/>
  <c r="R135" i="5"/>
  <c r="AG41" i="5"/>
  <c r="R40" i="5"/>
  <c r="S39" i="5"/>
  <c r="AG117" i="5"/>
  <c r="S47" i="5"/>
  <c r="AG66" i="5"/>
  <c r="S113" i="5"/>
  <c r="S135" i="5"/>
  <c r="R41" i="5"/>
  <c r="R38" i="5"/>
  <c r="AG120" i="5"/>
  <c r="R83" i="5"/>
  <c r="AG137" i="5"/>
  <c r="S119" i="5"/>
  <c r="AG38" i="5"/>
  <c r="R120" i="5"/>
  <c r="AG83" i="5"/>
  <c r="S137" i="5"/>
  <c r="AG119" i="5"/>
  <c r="S38" i="5"/>
  <c r="S120" i="5"/>
  <c r="S83" i="5"/>
  <c r="R137" i="5"/>
  <c r="R119" i="5"/>
  <c r="AC17" i="5" l="1"/>
  <c r="E119" i="12"/>
  <c r="F119" i="6"/>
  <c r="AC119" i="5"/>
  <c r="AC137" i="5"/>
  <c r="E137" i="12"/>
  <c r="F137" i="6"/>
  <c r="F83" i="12"/>
  <c r="G83" i="6"/>
  <c r="G120" i="6"/>
  <c r="F120" i="12"/>
  <c r="G38" i="6"/>
  <c r="F38" i="12"/>
  <c r="F137" i="12"/>
  <c r="G137" i="6"/>
  <c r="E120" i="12"/>
  <c r="AC120" i="5"/>
  <c r="F120" i="6"/>
  <c r="G119" i="6"/>
  <c r="F119" i="12"/>
  <c r="AC83" i="5"/>
  <c r="E83" i="12"/>
  <c r="F83" i="6"/>
  <c r="E38" i="12"/>
  <c r="AC38" i="5"/>
  <c r="F38" i="6"/>
  <c r="F41" i="6"/>
  <c r="AC41" i="5"/>
  <c r="E41" i="12"/>
  <c r="F135" i="12"/>
  <c r="G135" i="6"/>
  <c r="G113" i="6"/>
  <c r="F113" i="12"/>
  <c r="F47" i="12"/>
  <c r="G47" i="6"/>
  <c r="F39" i="12"/>
  <c r="G39" i="6"/>
  <c r="E40" i="12"/>
  <c r="AC40" i="5"/>
  <c r="F40" i="6"/>
  <c r="E135" i="12"/>
  <c r="F135" i="6"/>
  <c r="AC135" i="5"/>
  <c r="E113" i="12"/>
  <c r="AC113" i="5"/>
  <c r="F113" i="6"/>
  <c r="E66" i="12"/>
  <c r="F66" i="6"/>
  <c r="AC66" i="5"/>
  <c r="AC47" i="5"/>
  <c r="E47" i="12"/>
  <c r="F47" i="6"/>
  <c r="E117" i="12"/>
  <c r="AC117" i="5"/>
  <c r="F117" i="6"/>
  <c r="E39" i="12"/>
  <c r="F39" i="6"/>
  <c r="AC39" i="5"/>
  <c r="G61" i="6"/>
  <c r="F61" i="12"/>
  <c r="G40" i="6"/>
  <c r="F40" i="12"/>
  <c r="F41" i="12"/>
  <c r="G41" i="6"/>
  <c r="F66" i="12"/>
  <c r="G66" i="6"/>
  <c r="F117" i="12"/>
  <c r="G117" i="6"/>
  <c r="G42" i="6"/>
  <c r="F42" i="12"/>
  <c r="E136" i="12"/>
  <c r="AC136" i="5"/>
  <c r="F136" i="6"/>
  <c r="G68" i="6"/>
  <c r="F68" i="12"/>
  <c r="E67" i="12"/>
  <c r="AC67" i="5"/>
  <c r="F67" i="6"/>
  <c r="E100" i="12"/>
  <c r="AC100" i="5"/>
  <c r="F100" i="6"/>
  <c r="F65" i="12"/>
  <c r="G65" i="6"/>
  <c r="F134" i="12"/>
  <c r="G134" i="6"/>
  <c r="F46" i="12"/>
  <c r="G46" i="6"/>
  <c r="G100" i="6"/>
  <c r="F100" i="12"/>
  <c r="AC65" i="5"/>
  <c r="F65" i="6"/>
  <c r="E65" i="12"/>
  <c r="E134" i="12"/>
  <c r="AC134" i="5"/>
  <c r="F134" i="6"/>
  <c r="E46" i="12"/>
  <c r="AC46" i="5"/>
  <c r="F46" i="6"/>
  <c r="F42" i="6"/>
  <c r="AC42" i="5"/>
  <c r="E42" i="12"/>
  <c r="G136" i="6"/>
  <c r="F136" i="12"/>
  <c r="AC68" i="5"/>
  <c r="E68" i="12"/>
  <c r="F68" i="6"/>
  <c r="F67" i="12"/>
  <c r="G67" i="6"/>
  <c r="F116" i="6"/>
  <c r="E116" i="12"/>
  <c r="AC116" i="5"/>
  <c r="F133" i="6"/>
  <c r="E133" i="12"/>
  <c r="AC133" i="5"/>
  <c r="F115" i="12"/>
  <c r="G115" i="6"/>
  <c r="AC45" i="5"/>
  <c r="F45" i="6"/>
  <c r="E45" i="12"/>
  <c r="E48" i="12"/>
  <c r="AC48" i="5"/>
  <c r="F48" i="6"/>
  <c r="G112" i="6"/>
  <c r="F112" i="12"/>
  <c r="AC118" i="5"/>
  <c r="E118" i="12"/>
  <c r="F118" i="6"/>
  <c r="F114" i="12"/>
  <c r="G114" i="6"/>
  <c r="F133" i="12"/>
  <c r="G133" i="6"/>
  <c r="E115" i="12"/>
  <c r="AC115" i="5"/>
  <c r="F115" i="6"/>
  <c r="AC60" i="5"/>
  <c r="F60" i="6"/>
  <c r="E60" i="12"/>
  <c r="G45" i="6"/>
  <c r="F45" i="12"/>
  <c r="F118" i="12"/>
  <c r="G118" i="6"/>
  <c r="F44" i="6"/>
  <c r="E44" i="12"/>
  <c r="AC44" i="5"/>
  <c r="F116" i="12"/>
  <c r="G116" i="6"/>
  <c r="F60" i="12"/>
  <c r="G60" i="6"/>
  <c r="G48" i="6"/>
  <c r="F48" i="12"/>
  <c r="F112" i="6"/>
  <c r="AC112" i="5"/>
  <c r="E112" i="12"/>
  <c r="G44" i="6"/>
  <c r="F44" i="12"/>
  <c r="E114" i="12"/>
  <c r="AC114" i="5"/>
  <c r="F114" i="6"/>
  <c r="E138" i="12"/>
  <c r="F138" i="6"/>
  <c r="AC138" i="5"/>
  <c r="F138" i="12"/>
  <c r="G138" i="6"/>
  <c r="AC32" i="5"/>
  <c r="AC33" i="5"/>
  <c r="AF22" i="5"/>
  <c r="AF27" i="5"/>
  <c r="AF35" i="5"/>
  <c r="AF61" i="5"/>
  <c r="AF29" i="5"/>
  <c r="AF97" i="5"/>
  <c r="AF37" i="5"/>
  <c r="AF36" i="5"/>
  <c r="AF34" i="5"/>
  <c r="AF98" i="5"/>
  <c r="AF30" i="5"/>
  <c r="AF19" i="5"/>
  <c r="AF33" i="5"/>
  <c r="AF28" i="5"/>
  <c r="AF20" i="5"/>
  <c r="AF23" i="5"/>
  <c r="AF82" i="5"/>
  <c r="AF64" i="5"/>
  <c r="AF32" i="5"/>
  <c r="AF63" i="5"/>
  <c r="AF80" i="5"/>
  <c r="AF26" i="5"/>
  <c r="AF62" i="5"/>
  <c r="AF14" i="5"/>
  <c r="AF31" i="5"/>
  <c r="AF25" i="5"/>
  <c r="AF24" i="5"/>
  <c r="AF21" i="5"/>
  <c r="AF18" i="5"/>
  <c r="AF17" i="5"/>
  <c r="AF99" i="5"/>
  <c r="AF16" i="5"/>
  <c r="AG33" i="5" l="1"/>
  <c r="S33" i="5"/>
  <c r="R35" i="5"/>
  <c r="S35" i="5"/>
  <c r="AG35" i="5"/>
  <c r="S20" i="5"/>
  <c r="AG20" i="5"/>
  <c r="R20" i="5"/>
  <c r="S29" i="5"/>
  <c r="R29" i="5"/>
  <c r="AG29" i="5"/>
  <c r="AG27" i="5"/>
  <c r="S27" i="5"/>
  <c r="R27" i="5"/>
  <c r="R21" i="5"/>
  <c r="AG21" i="5"/>
  <c r="S21" i="5"/>
  <c r="AG32" i="5"/>
  <c r="S32" i="5"/>
  <c r="AG17" i="5"/>
  <c r="S17" i="5"/>
  <c r="F17" i="12" s="1"/>
  <c r="AG36" i="5"/>
  <c r="S36" i="5"/>
  <c r="R36" i="5"/>
  <c r="AG31" i="5"/>
  <c r="S31" i="5"/>
  <c r="R31" i="5"/>
  <c r="AG26" i="5"/>
  <c r="R26" i="5"/>
  <c r="S26" i="5"/>
  <c r="S37" i="5"/>
  <c r="AG37" i="5"/>
  <c r="R37" i="5"/>
  <c r="AG23" i="5"/>
  <c r="S23" i="5"/>
  <c r="F23" i="12" s="1"/>
  <c r="S28" i="5"/>
  <c r="R28" i="5"/>
  <c r="AG28" i="5"/>
  <c r="AG30" i="5"/>
  <c r="S30" i="5"/>
  <c r="R30" i="5"/>
  <c r="AG22" i="5"/>
  <c r="S22" i="5"/>
  <c r="R34" i="5"/>
  <c r="AG34" i="5"/>
  <c r="S34" i="5"/>
  <c r="S16" i="5"/>
  <c r="AG16" i="5"/>
  <c r="AG18" i="5"/>
  <c r="S18" i="5"/>
  <c r="S14" i="5"/>
  <c r="AG14" i="5"/>
  <c r="R14" i="5"/>
  <c r="AG62" i="5"/>
  <c r="S99" i="5"/>
  <c r="AG24" i="5"/>
  <c r="R24" i="5"/>
  <c r="S64" i="5"/>
  <c r="AG82" i="5"/>
  <c r="S97" i="5"/>
  <c r="AG80" i="5"/>
  <c r="S19" i="5"/>
  <c r="S98" i="5"/>
  <c r="S63" i="5"/>
  <c r="AG97" i="5"/>
  <c r="R61" i="5"/>
  <c r="AG99" i="5"/>
  <c r="S25" i="5"/>
  <c r="S62" i="5"/>
  <c r="S82" i="5"/>
  <c r="R64" i="5"/>
  <c r="S80" i="5"/>
  <c r="R98" i="5"/>
  <c r="AG25" i="5"/>
  <c r="AG63" i="5"/>
  <c r="R19" i="5"/>
  <c r="R99" i="5"/>
  <c r="R82" i="5"/>
  <c r="R62" i="5"/>
  <c r="AG19" i="5"/>
  <c r="R25" i="5"/>
  <c r="AG61" i="5"/>
  <c r="S24" i="5"/>
  <c r="R97" i="5"/>
  <c r="R63" i="5"/>
  <c r="AG64" i="5"/>
  <c r="R80" i="5"/>
  <c r="AG98" i="5"/>
  <c r="AC31" i="5" l="1"/>
  <c r="F31" i="6"/>
  <c r="E31" i="12"/>
  <c r="F21" i="6"/>
  <c r="E21" i="12"/>
  <c r="AC21" i="5"/>
  <c r="G20" i="6"/>
  <c r="F20" i="12"/>
  <c r="G25" i="6"/>
  <c r="F25" i="12"/>
  <c r="G63" i="6"/>
  <c r="F63" i="12"/>
  <c r="F31" i="12"/>
  <c r="G31" i="6"/>
  <c r="F27" i="6"/>
  <c r="E27" i="12"/>
  <c r="AC27" i="5"/>
  <c r="G97" i="6"/>
  <c r="F97" i="12"/>
  <c r="F16" i="12"/>
  <c r="AC16" i="5"/>
  <c r="E28" i="12"/>
  <c r="AC28" i="5"/>
  <c r="F28" i="6"/>
  <c r="F27" i="12"/>
  <c r="G27" i="6"/>
  <c r="AC97" i="5"/>
  <c r="E97" i="12"/>
  <c r="F97" i="6"/>
  <c r="E24" i="12"/>
  <c r="F24" i="6"/>
  <c r="AC24" i="5"/>
  <c r="F35" i="12"/>
  <c r="G35" i="6"/>
  <c r="G34" i="6"/>
  <c r="F34" i="12"/>
  <c r="G28" i="6"/>
  <c r="F28" i="12"/>
  <c r="AC36" i="5"/>
  <c r="F36" i="6"/>
  <c r="E36" i="12"/>
  <c r="G24" i="6"/>
  <c r="F24" i="12"/>
  <c r="E35" i="12"/>
  <c r="F35" i="6"/>
  <c r="AC35" i="5"/>
  <c r="G36" i="6"/>
  <c r="F36" i="12"/>
  <c r="F82" i="6"/>
  <c r="AC82" i="5"/>
  <c r="E82" i="12"/>
  <c r="F99" i="6"/>
  <c r="AC99" i="5"/>
  <c r="E99" i="12"/>
  <c r="AC98" i="5"/>
  <c r="F98" i="6"/>
  <c r="E98" i="12"/>
  <c r="F29" i="6"/>
  <c r="AC29" i="5"/>
  <c r="E29" i="12"/>
  <c r="G82" i="6"/>
  <c r="F82" i="12"/>
  <c r="F98" i="12"/>
  <c r="G98" i="6"/>
  <c r="G29" i="6"/>
  <c r="F29" i="12"/>
  <c r="F99" i="12"/>
  <c r="G99" i="6"/>
  <c r="F62" i="6"/>
  <c r="AC62" i="5"/>
  <c r="E62" i="12"/>
  <c r="F33" i="12"/>
  <c r="G33" i="6"/>
  <c r="F34" i="6"/>
  <c r="E34" i="12"/>
  <c r="AC34" i="5"/>
  <c r="F22" i="12"/>
  <c r="AC22" i="5"/>
  <c r="F14" i="6"/>
  <c r="AC14" i="5"/>
  <c r="E14" i="12"/>
  <c r="F37" i="12"/>
  <c r="G37" i="6"/>
  <c r="G32" i="6"/>
  <c r="F32" i="12"/>
  <c r="F19" i="6"/>
  <c r="E19" i="12"/>
  <c r="AC19" i="5"/>
  <c r="E64" i="12"/>
  <c r="AC64" i="5"/>
  <c r="F64" i="6"/>
  <c r="G62" i="6"/>
  <c r="F62" i="12"/>
  <c r="E61" i="12"/>
  <c r="F61" i="6"/>
  <c r="AC61" i="5"/>
  <c r="F26" i="12"/>
  <c r="G26" i="6"/>
  <c r="G19" i="6"/>
  <c r="F19" i="12"/>
  <c r="F64" i="12"/>
  <c r="G64" i="6"/>
  <c r="AC80" i="5"/>
  <c r="F80" i="6"/>
  <c r="E80" i="12"/>
  <c r="G14" i="6"/>
  <c r="F14" i="12"/>
  <c r="F30" i="6"/>
  <c r="AC30" i="5"/>
  <c r="E30" i="12"/>
  <c r="AC26" i="5"/>
  <c r="E26" i="12"/>
  <c r="F26" i="6"/>
  <c r="G21" i="6"/>
  <c r="F21" i="12"/>
  <c r="F20" i="6"/>
  <c r="AC20" i="5"/>
  <c r="E20" i="12"/>
  <c r="AC63" i="5"/>
  <c r="E63" i="12"/>
  <c r="F63" i="6"/>
  <c r="AC37" i="5"/>
  <c r="F37" i="6"/>
  <c r="E37" i="12"/>
  <c r="AC18" i="5"/>
  <c r="F18" i="12"/>
  <c r="F30" i="12"/>
  <c r="G30" i="6"/>
  <c r="F25" i="6"/>
  <c r="E25" i="12"/>
  <c r="AC25" i="5"/>
  <c r="G80" i="6"/>
  <c r="F80" i="12"/>
  <c r="AC11" i="5" l="1"/>
</calcChain>
</file>

<file path=xl/sharedStrings.xml><?xml version="1.0" encoding="utf-8"?>
<sst xmlns="http://schemas.openxmlformats.org/spreadsheetml/2006/main" count="2347" uniqueCount="469">
  <si>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</si>
  <si>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</si>
  <si>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</si>
  <si>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</si>
  <si>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</si>
  <si>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</si>
  <si>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</si>
  <si>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</si>
  <si>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</si>
  <si>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</si>
  <si>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</si>
  <si>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</si>
  <si>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</si>
  <si>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</si>
  <si>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</si>
  <si>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</si>
  <si>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</si>
  <si>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</si>
  <si>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</si>
  <si>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</si>
  <si>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</si>
  <si>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</si>
  <si>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</si>
  <si>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</si>
  <si>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</si>
  <si>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</si>
  <si>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</si>
  <si>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</si>
  <si>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</si>
  <si>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</si>
  <si>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</si>
  <si>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</si>
  <si>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</si>
  <si>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</si>
  <si>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</si>
  <si>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</si>
  <si>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</si>
  <si>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</si>
  <si>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</si>
  <si>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</si>
  <si>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</si>
  <si>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</si>
  <si>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</si>
  <si>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</si>
  <si>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</si>
  <si>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</si>
  <si>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</si>
  <si>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</si>
  <si>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</si>
  <si>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</si>
  <si>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</si>
  <si>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</si>
  <si>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</si>
  <si>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</si>
  <si>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</si>
  <si>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</si>
  <si>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</si>
  <si>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</si>
  <si>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</si>
  <si>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</si>
  <si>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</si>
  <si>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</si>
  <si>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</si>
  <si>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</si>
  <si>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</si>
  <si>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</si>
  <si>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</si>
  <si>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</si>
  <si>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</si>
  <si>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</si>
  <si>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</si>
  <si>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</si>
  <si>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</si>
  <si>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</si>
  <si>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</si>
  <si>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</si>
  <si>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</si>
  <si>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</si>
  <si>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</si>
  <si>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</si>
  <si>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</si>
  <si>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</si>
  <si>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</si>
  <si>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</si>
  <si>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</si>
  <si>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</si>
  <si>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</si>
  <si>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</si>
  <si>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</si>
  <si>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</si>
  <si>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</si>
  <si>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</si>
  <si>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</si>
  <si>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</si>
  <si>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</si>
  <si>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</si>
  <si>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</si>
  <si>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</si>
  <si>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</si>
  <si>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</si>
  <si>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</si>
  <si>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</si>
  <si>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</si>
  <si>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</si>
  <si>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</si>
  <si>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</si>
  <si>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</si>
  <si>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</si>
  <si>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</si>
  <si>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</si>
  <si>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</si>
  <si>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</si>
  <si>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</si>
  <si>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</si>
  <si>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</si>
  <si>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</si>
  <si>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</si>
  <si>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</si>
  <si>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</si>
  <si>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</si>
  <si>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</si>
  <si>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</si>
  <si>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</si>
  <si>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</si>
  <si>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</si>
  <si>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</si>
  <si>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</si>
  <si>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</si>
  <si>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</si>
  <si>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</si>
  <si>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</si>
  <si>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</si>
  <si>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</si>
  <si>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</si>
  <si>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</si>
  <si>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</si>
  <si>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</si>
  <si>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</si>
  <si>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</si>
  <si>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</si>
  <si>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</si>
  <si>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</si>
  <si>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</si>
  <si>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</si>
  <si>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</si>
  <si>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</si>
  <si>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</si>
  <si>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</si>
  <si>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</si>
  <si>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</si>
  <si>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</si>
  <si>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</si>
  <si>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</si>
  <si>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</si>
  <si>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</si>
  <si>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</si>
  <si>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</si>
  <si>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</si>
  <si>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</si>
  <si>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</si>
  <si>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</si>
  <si>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</si>
  <si>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</si>
  <si>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</si>
  <si>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</si>
  <si>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</si>
  <si>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</si>
  <si>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</si>
  <si>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</si>
  <si>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</si>
  <si>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</si>
  <si>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</si>
  <si>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</si>
  <si>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</si>
  <si>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</si>
  <si>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</si>
  <si>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</si>
  <si>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</si>
  <si>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</si>
  <si>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</si>
  <si>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</si>
  <si>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</si>
  <si>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</si>
  <si>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</si>
  <si>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</si>
  <si>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</si>
  <si>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</si>
  <si>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</si>
  <si>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</si>
  <si>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</si>
  <si>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</si>
  <si>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</si>
  <si>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</si>
  <si>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</si>
  <si>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</si>
  <si>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</si>
  <si>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</si>
  <si>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</si>
  <si>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</si>
  <si>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</si>
  <si>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</si>
  <si>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</si>
  <si>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</si>
  <si>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</si>
  <si>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</si>
  <si>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</si>
  <si>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</si>
  <si>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</si>
  <si>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</si>
  <si>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</si>
  <si>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</si>
  <si>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</si>
  <si>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</si>
  <si>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</si>
  <si>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</si>
  <si>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</si>
  <si>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</si>
  <si>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</si>
  <si>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</si>
  <si>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</si>
  <si>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</si>
  <si>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</si>
  <si>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</si>
  <si>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</si>
  <si>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</si>
  <si>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</si>
  <si>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</si>
  <si>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</si>
  <si>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</si>
  <si>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</si>
  <si>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</si>
  <si>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</si>
  <si>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</si>
  <si>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</si>
  <si>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</si>
  <si>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</si>
  <si>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</si>
  <si>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</si>
  <si>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</si>
  <si>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</si>
  <si>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</si>
  <si>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</si>
  <si>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</si>
  <si>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</si>
  <si>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</si>
  <si>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</si>
  <si>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</si>
  <si>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</si>
  <si>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</si>
  <si>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</si>
  <si>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</si>
  <si>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</si>
  <si>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</si>
  <si>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</si>
  <si>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</si>
  <si>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</si>
  <si>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</si>
  <si>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</si>
  <si>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</si>
  <si>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</si>
  <si>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</si>
  <si>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</si>
  <si>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</si>
  <si>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</si>
  <si>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</si>
  <si>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</si>
  <si>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</si>
  <si>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</si>
  <si>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</si>
  <si>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</si>
  <si>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</si>
  <si>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</si>
  <si>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</si>
  <si>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</si>
  <si>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</si>
  <si>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</si>
  <si>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</si>
  <si>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</si>
  <si>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</si>
  <si>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</si>
  <si>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</si>
  <si>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</si>
  <si>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</si>
  <si>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</si>
  <si>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</si>
  <si>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</si>
  <si>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</si>
  <si>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</si>
  <si>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</si>
  <si>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</si>
  <si>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</si>
  <si>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</si>
  <si>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</si>
  <si>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</si>
  <si>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</si>
  <si>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</si>
  <si>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</si>
  <si>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</si>
  <si>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</si>
  <si>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</si>
  <si>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</si>
  <si>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</si>
  <si>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</si>
  <si>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</si>
  <si>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</si>
  <si>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</si>
  <si>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</si>
  <si>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</si>
  <si>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</si>
  <si>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</si>
  <si>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</si>
  <si>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</si>
  <si>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</si>
  <si>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</si>
  <si>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</si>
  <si>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</si>
  <si>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</si>
  <si>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</si>
  <si>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</si>
  <si>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</si>
  <si>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</si>
  <si>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</si>
  <si>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</si>
  <si>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</si>
  <si>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</si>
  <si>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</si>
  <si>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</si>
  <si>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</si>
  <si>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</si>
  <si>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</si>
  <si>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</si>
  <si>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</si>
  <si>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</si>
  <si>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</si>
  <si>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</si>
  <si>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</si>
  <si>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</si>
  <si>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</si>
  <si>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</si>
  <si>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</si>
  <si>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</si>
  <si>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</si>
  <si>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</si>
  <si>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</si>
  <si>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</si>
  <si>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</si>
  <si>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</si>
  <si>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</si>
  <si>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</si>
  <si>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</si>
  <si>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</si>
  <si>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</si>
  <si>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</si>
  <si>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</si>
  <si>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</si>
  <si>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</si>
  <si>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</si>
  <si>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</si>
  <si>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</si>
  <si>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</si>
  <si>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</si>
  <si>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</si>
  <si>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</si>
  <si>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</si>
  <si>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</si>
  <si>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</si>
  <si>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</si>
  <si>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</si>
  <si>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</si>
  <si>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</si>
  <si>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</si>
  <si>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</si>
  <si>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</si>
  <si>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</si>
  <si>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</si>
  <si>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</si>
  <si>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</si>
  <si>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</si>
  <si>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</si>
  <si>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</si>
  <si>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</si>
  <si>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</si>
  <si>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</si>
  <si>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</si>
  <si>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</si>
  <si>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</si>
  <si>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</si>
  <si>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</si>
  <si>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</si>
  <si>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</si>
  <si>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</si>
  <si>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</si>
  <si>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</si>
  <si>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</si>
  <si>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</si>
  <si>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</si>
  <si>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</si>
  <si>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</si>
  <si>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</si>
  <si>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</si>
  <si>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</si>
  <si>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</si>
  <si>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</si>
  <si>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</si>
  <si>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</si>
  <si>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</si>
  <si>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</si>
  <si>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</si>
  <si>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</si>
  <si>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</si>
  <si>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</si>
  <si>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</si>
  <si>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</si>
  <si>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</si>
  <si>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</si>
  <si>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</si>
  <si>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</si>
  <si>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</si>
  <si>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</si>
  <si>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</si>
  <si>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</si>
  <si>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</si>
  <si>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</si>
  <si>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</si>
  <si>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</si>
  <si>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</si>
  <si>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</si>
  <si>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</si>
  <si>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</si>
  <si>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</si>
  <si>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</si>
  <si>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</si>
  <si>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</si>
  <si>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</si>
  <si>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</si>
  <si>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</si>
  <si>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</si>
  <si>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</si>
  <si>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</si>
  <si>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</si>
  <si>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</si>
  <si>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</si>
  <si>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</si>
  <si>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JOÃO YASUJI SAKAI</t>
  </si>
  <si>
    <t>21735/D</t>
  </si>
  <si>
    <t>LAURINDO SPEROTTO</t>
  </si>
  <si>
    <t>PREFEITO</t>
  </si>
  <si>
    <t>ENGENHEIRO CIVIL</t>
  </si>
  <si>
    <t>PR21735/D</t>
  </si>
  <si>
    <t>Composição</t>
  </si>
  <si>
    <t>001</t>
  </si>
  <si>
    <t>SINAPI-I</t>
  </si>
  <si>
    <t>002</t>
  </si>
  <si>
    <t>Cotação</t>
  </si>
  <si>
    <t>003</t>
  </si>
  <si>
    <t>DESONERADO</t>
  </si>
  <si>
    <t>90824</t>
  </si>
  <si>
    <t>ESQUADRIAS</t>
  </si>
  <si>
    <t>PINTURA</t>
  </si>
  <si>
    <t>88489</t>
  </si>
  <si>
    <t>95305</t>
  </si>
  <si>
    <t>96126</t>
  </si>
  <si>
    <t>100389</t>
  </si>
  <si>
    <t>94207</t>
  </si>
  <si>
    <t>PAREDE E FORRO</t>
  </si>
  <si>
    <t>91341</t>
  </si>
  <si>
    <t>94229</t>
  </si>
  <si>
    <t>M2</t>
  </si>
  <si>
    <t>REFORMA UBS NOVA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</si>
</sst>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60" t="str">
        <f>CHOOSE(MATCH(Objeto,{"PM","PO"}),"PLANILHA MÚLTIPLA ","PLANILHA ORÇAMENTÁRIA ")&amp; Versao</f>
        <v>PLANILHA MÚLTIPLA CÉU AZUL</v>
      </c>
      <c r="F2" s="660"/>
      <c r="G2" s="660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60"/>
      <c r="F3" s="660"/>
      <c r="G3" s="660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05-2021.xls.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7" priority="70" stopIfTrue="1">
      <formula>TIPOORCAMENTO="Licitado"</formula>
    </cfRule>
  </conditionalFormatting>
  <conditionalFormatting sqref="C18:G18 E22:E24">
    <cfRule type="expression" dxfId="1166" priority="71" stopIfTrue="1">
      <formula>TIPOORCAMENTO&lt;&gt;"Licitado"</formula>
    </cfRule>
  </conditionalFormatting>
  <conditionalFormatting sqref="C22">
    <cfRule type="expression" dxfId="1165" priority="73" stopIfTrue="1">
      <formula>OR(TIPOORCAMENTO&lt;&gt;"Licitado",ACOMPANHAMENTO&lt;&gt;"PLE")</formula>
    </cfRule>
  </conditionalFormatting>
  <conditionalFormatting sqref="G22">
    <cfRule type="expression" dxfId="1164" priority="74" stopIfTrue="1">
      <formula>OR(TIPOORCAMENTO&lt;&gt;"Licitado",ACOMPANHAMENTO&lt;&gt;"BM")</formula>
    </cfRule>
  </conditionalFormatting>
  <conditionalFormatting sqref="B16:H16 B20:H20">
    <cfRule type="expression" dxfId="1163" priority="599" stopIfTrue="1">
      <formula>$O$3&lt;&gt;2</formula>
    </cfRule>
  </conditionalFormatting>
  <conditionalFormatting sqref="B8:H8">
    <cfRule type="expression" dxfId="1162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12" activePane="bottomLeft" state="frozen"/>
      <selection pane="bottomLeft" activeCell="F25" sqref="F25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436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1" t="s">
        <v>101</v>
      </c>
      <c r="F15" s="661"/>
      <c r="J15" s="15" t="s">
        <v>20</v>
      </c>
    </row>
    <row r="16" spans="5:44" x14ac:dyDescent="0.2">
      <c r="E16" s="32" t="s">
        <v>102</v>
      </c>
      <c r="F16" s="33" t="s">
        <v>468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455</v>
      </c>
      <c r="J18" s="15" t="s">
        <v>23</v>
      </c>
    </row>
    <row r="19" spans="5:10" x14ac:dyDescent="0.2">
      <c r="E19" s="37" t="s">
        <v>105</v>
      </c>
      <c r="F19" s="38">
        <v>44317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1" t="s">
        <v>106</v>
      </c>
      <c r="F21" s="661"/>
      <c r="J21" s="15"/>
    </row>
    <row r="22" spans="5:10" x14ac:dyDescent="0.2">
      <c r="E22" s="23" t="s">
        <v>107</v>
      </c>
      <c r="F22" s="41" t="s">
        <v>443</v>
      </c>
    </row>
    <row r="23" spans="5:10" x14ac:dyDescent="0.2">
      <c r="E23" s="25" t="s">
        <v>108</v>
      </c>
      <c r="F23" s="26" t="s">
        <v>444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44628</v>
      </c>
    </row>
    <row r="26" spans="5:10" x14ac:dyDescent="0.2">
      <c r="E26" s="39"/>
      <c r="F26" s="39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43" t="s">
        <v>445</v>
      </c>
    </row>
    <row r="29" spans="5:10" x14ac:dyDescent="0.2">
      <c r="E29" s="29" t="s">
        <v>112</v>
      </c>
      <c r="F29" s="44" t="s">
        <v>446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44656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50" t="s">
        <v>443</v>
      </c>
    </row>
    <row r="51" spans="5:6" x14ac:dyDescent="0.2">
      <c r="E51" s="25" t="s">
        <v>126</v>
      </c>
      <c r="F51" s="26" t="s">
        <v>447</v>
      </c>
    </row>
    <row r="52" spans="5:6" x14ac:dyDescent="0.2">
      <c r="E52" s="25" t="s">
        <v>127</v>
      </c>
      <c r="F52" s="26" t="s">
        <v>448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1" priority="2" stopIfTrue="1">
      <formula>CAIXA.Modo=FALSE</formula>
    </cfRule>
  </conditionalFormatting>
  <conditionalFormatting sqref="E58:F60">
    <cfRule type="expression" dxfId="1160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T35" sqref="T3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8" t="s">
        <v>139</v>
      </c>
      <c r="S1" s="688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9" t="s">
        <v>142</v>
      </c>
      <c r="S2" s="689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4" t="s">
        <v>439</v>
      </c>
      <c r="K4" s="684"/>
      <c r="L4" s="684" t="s">
        <v>440</v>
      </c>
      <c r="M4" s="684"/>
      <c r="N4" s="684" t="s">
        <v>146</v>
      </c>
      <c r="O4" s="684"/>
      <c r="P4" s="684"/>
      <c r="Q4" s="684"/>
      <c r="R4" s="684"/>
      <c r="S4" s="684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7">
        <f>Import.CR</f>
        <v>0</v>
      </c>
      <c r="K5" s="687"/>
      <c r="L5" s="687">
        <f>Import.SICONV</f>
        <v>0</v>
      </c>
      <c r="M5" s="687"/>
      <c r="N5" s="687" t="str">
        <f>Import.Proponente</f>
        <v>MUNICIPIO DE CÉU AZUL</v>
      </c>
      <c r="O5" s="687"/>
      <c r="P5" s="687"/>
      <c r="Q5" s="687"/>
      <c r="R5" s="687"/>
      <c r="S5" s="687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7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7"/>
      <c r="J7" s="684" t="s">
        <v>150</v>
      </c>
      <c r="K7" s="684"/>
      <c r="L7" s="684"/>
      <c r="M7" s="684"/>
      <c r="N7" s="684"/>
      <c r="O7" s="684"/>
      <c r="P7" s="684"/>
      <c r="Q7" s="684"/>
      <c r="R7" s="684"/>
      <c r="S7" s="684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7"/>
      <c r="J8" s="692" t="str">
        <f>Import.Apelido&amp;" / "&amp;Import.DescLote</f>
        <v xml:space="preserve">REFORMA UBS NOVA UNIÃO / </v>
      </c>
      <c r="K8" s="692"/>
      <c r="L8" s="692"/>
      <c r="M8" s="692"/>
      <c r="N8" s="692"/>
      <c r="O8" s="692"/>
      <c r="P8" s="692"/>
      <c r="Q8" s="692"/>
      <c r="R8" s="692"/>
      <c r="S8" s="692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7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7"/>
      <c r="J10" s="693" t="s">
        <v>152</v>
      </c>
      <c r="K10" s="693"/>
      <c r="L10" s="693"/>
      <c r="M10" s="693"/>
      <c r="N10" s="693"/>
      <c r="O10" s="693"/>
      <c r="P10" s="693"/>
      <c r="Q10" s="693"/>
      <c r="R10" s="691">
        <v>1</v>
      </c>
      <c r="S10" s="691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90" t="s">
        <v>153</v>
      </c>
      <c r="K11" s="690"/>
      <c r="L11" s="690"/>
      <c r="M11" s="690"/>
      <c r="N11" s="690"/>
      <c r="O11" s="690"/>
      <c r="P11" s="690"/>
      <c r="Q11" s="690"/>
      <c r="R11" s="691">
        <v>0.04</v>
      </c>
      <c r="S11" s="691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6" t="s">
        <v>155</v>
      </c>
      <c r="K14" s="686"/>
      <c r="L14" s="686"/>
      <c r="M14" s="686"/>
      <c r="N14" s="686"/>
      <c r="O14" s="686"/>
      <c r="P14" s="686"/>
      <c r="Q14" s="686"/>
      <c r="R14" s="686"/>
      <c r="S14" s="686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4" t="s">
        <v>156</v>
      </c>
      <c r="K16" s="684"/>
      <c r="L16" s="684"/>
      <c r="M16" s="684"/>
      <c r="N16" s="684"/>
      <c r="O16" s="684"/>
      <c r="P16" s="684"/>
      <c r="Q16" s="684"/>
      <c r="R16" s="684"/>
      <c r="S16" s="684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5" t="s">
        <v>408</v>
      </c>
      <c r="K17" s="685"/>
      <c r="L17" s="685"/>
      <c r="M17" s="685"/>
      <c r="N17" s="685"/>
      <c r="O17" s="685"/>
      <c r="P17" s="685"/>
      <c r="Q17" s="685"/>
      <c r="R17" s="685"/>
      <c r="S17" s="685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3" t="s">
        <v>157</v>
      </c>
      <c r="K19" s="683"/>
      <c r="L19" s="683"/>
      <c r="M19" s="683"/>
      <c r="N19" s="683"/>
      <c r="O19" s="683"/>
      <c r="P19" s="683"/>
      <c r="Q19" s="683"/>
      <c r="R19" s="683" t="s">
        <v>158</v>
      </c>
      <c r="S19" s="674" t="s">
        <v>159</v>
      </c>
      <c r="U19" s="674" t="s">
        <v>160</v>
      </c>
      <c r="V19" s="674"/>
      <c r="W19" s="674"/>
      <c r="X19" s="682" t="s">
        <v>161</v>
      </c>
      <c r="Y19" s="682" t="s">
        <v>162</v>
      </c>
      <c r="Z19" s="682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3"/>
      <c r="K20" s="683"/>
      <c r="L20" s="683"/>
      <c r="M20" s="683"/>
      <c r="N20" s="683"/>
      <c r="O20" s="683"/>
      <c r="P20" s="683"/>
      <c r="Q20" s="683"/>
      <c r="R20" s="683"/>
      <c r="S20" s="674"/>
      <c r="U20" s="674"/>
      <c r="V20" s="674"/>
      <c r="W20" s="674"/>
      <c r="X20" s="682"/>
      <c r="Y20" s="682"/>
      <c r="Z20" s="682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2" t="str">
        <f>IF($J$17=$A$146,"Encargos Sociais incidentes sobre a mão de obra","Administração Central")</f>
        <v>Administração Central</v>
      </c>
      <c r="K21" s="672"/>
      <c r="L21" s="672"/>
      <c r="M21" s="672"/>
      <c r="N21" s="672"/>
      <c r="O21" s="672"/>
      <c r="P21" s="672"/>
      <c r="Q21" s="672"/>
      <c r="R21" s="77" t="str">
        <f>IF($J17=$A$146,"K1","AC")</f>
        <v>AC</v>
      </c>
      <c r="S21" s="78">
        <v>0.03</v>
      </c>
      <c r="U21" s="673" t="s">
        <v>165</v>
      </c>
      <c r="V21" s="673"/>
      <c r="W21" s="673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2" t="str">
        <f>IF($J$17=$A$146,"Administração Central da empresa ou consultoria - overhead","Seguro e Garantia")</f>
        <v>Seguro e Garantia</v>
      </c>
      <c r="K22" s="672"/>
      <c r="L22" s="672"/>
      <c r="M22" s="672"/>
      <c r="N22" s="672"/>
      <c r="O22" s="672"/>
      <c r="P22" s="672"/>
      <c r="Q22" s="672"/>
      <c r="R22" s="77" t="str">
        <f>IF($J17=$A$146,"K2","SG")</f>
        <v>SG</v>
      </c>
      <c r="S22" s="78">
        <v>8.0000000000000002E-3</v>
      </c>
      <c r="U22" s="673" t="s">
        <v>165</v>
      </c>
      <c r="V22" s="673"/>
      <c r="W22" s="673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2" t="str">
        <f>IF($J$17=$A$146,"","Risco")</f>
        <v>Risco</v>
      </c>
      <c r="K23" s="672"/>
      <c r="L23" s="672"/>
      <c r="M23" s="672"/>
      <c r="N23" s="672"/>
      <c r="O23" s="672"/>
      <c r="P23" s="672"/>
      <c r="Q23" s="672"/>
      <c r="R23" s="77" t="str">
        <f>IF($J17=$A$146,"","R")</f>
        <v>R</v>
      </c>
      <c r="S23" s="78">
        <v>9.7000000000000003E-3</v>
      </c>
      <c r="U23" s="673" t="s">
        <v>165</v>
      </c>
      <c r="V23" s="673"/>
      <c r="W23" s="673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2" t="str">
        <f>IF($J$17=$A$146,"","Despesas Financeiras")</f>
        <v>Despesas Financeiras</v>
      </c>
      <c r="K24" s="672"/>
      <c r="L24" s="672"/>
      <c r="M24" s="672"/>
      <c r="N24" s="672"/>
      <c r="O24" s="672"/>
      <c r="P24" s="672"/>
      <c r="Q24" s="672"/>
      <c r="R24" s="77" t="str">
        <f>IF($J17=$A$146,"","DF")</f>
        <v>DF</v>
      </c>
      <c r="S24" s="78">
        <v>5.8999999999999999E-3</v>
      </c>
      <c r="U24" s="673" t="s">
        <v>165</v>
      </c>
      <c r="V24" s="673"/>
      <c r="W24" s="673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2" t="str">
        <f>IF($J$17=$A$146,"Margem bruta da empresa de consultoria","Lucro")</f>
        <v>Lucro</v>
      </c>
      <c r="K25" s="672"/>
      <c r="L25" s="672"/>
      <c r="M25" s="672"/>
      <c r="N25" s="672"/>
      <c r="O25" s="672"/>
      <c r="P25" s="672"/>
      <c r="Q25" s="672"/>
      <c r="R25" s="77" t="str">
        <f>IF($J17=$A$146,"K3","L")</f>
        <v>L</v>
      </c>
      <c r="S25" s="78">
        <v>6.1600000000000002E-2</v>
      </c>
      <c r="U25" s="673" t="s">
        <v>165</v>
      </c>
      <c r="V25" s="673"/>
      <c r="W25" s="673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2" t="s">
        <v>167</v>
      </c>
      <c r="K26" s="672"/>
      <c r="L26" s="672"/>
      <c r="M26" s="672"/>
      <c r="N26" s="672"/>
      <c r="O26" s="672"/>
      <c r="P26" s="672"/>
      <c r="Q26" s="672"/>
      <c r="R26" s="77" t="s">
        <v>168</v>
      </c>
      <c r="S26" s="78">
        <v>3.6499999999999998E-2</v>
      </c>
      <c r="U26" s="673" t="s">
        <v>165</v>
      </c>
      <c r="V26" s="673"/>
      <c r="W26" s="673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2" t="s">
        <v>169</v>
      </c>
      <c r="K27" s="672"/>
      <c r="L27" s="672"/>
      <c r="M27" s="672"/>
      <c r="N27" s="672"/>
      <c r="O27" s="672"/>
      <c r="P27" s="672"/>
      <c r="Q27" s="672"/>
      <c r="R27" s="77" t="s">
        <v>170</v>
      </c>
      <c r="S27" s="79">
        <f ca="1">IF(AND($J17&lt;&gt;$A$145,COUNTA(OFFSET(S20,1,0,6))&gt;0),$R$11*$R$10,0)</f>
        <v>0.04</v>
      </c>
      <c r="U27" s="673" t="s">
        <v>165</v>
      </c>
      <c r="V27" s="673"/>
      <c r="W27" s="673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2" t="s">
        <v>171</v>
      </c>
      <c r="K28" s="672"/>
      <c r="L28" s="672"/>
      <c r="M28" s="672"/>
      <c r="N28" s="672"/>
      <c r="O28" s="672"/>
      <c r="P28" s="672"/>
      <c r="Q28" s="672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3" t="s">
        <v>165</v>
      </c>
      <c r="V28" s="673"/>
      <c r="W28" s="673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2" t="s">
        <v>173</v>
      </c>
      <c r="K29" s="672"/>
      <c r="L29" s="672"/>
      <c r="M29" s="672"/>
      <c r="N29" s="672"/>
      <c r="O29" s="672"/>
      <c r="P29" s="672"/>
      <c r="Q29" s="672"/>
      <c r="R29" s="81" t="s">
        <v>149</v>
      </c>
      <c r="S29" s="79">
        <f ca="1">IF($J17=$A$145,0,ROUND((((1+S21+S22+S23)*(1+S24)*(1+S25)/(1-(S26+S27)))-1),4))</f>
        <v>0.21149999999999999</v>
      </c>
      <c r="U29" s="674" t="e">
        <f ca="1">IF(OR($J$17=$A$146,$J$17=$A$145,AND(S29&gt;=X29,S29&lt;=Z29)),"OK","FORA DO INTERVALO")</f>
        <v>#N/A</v>
      </c>
      <c r="V29" s="674"/>
      <c r="W29" s="674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5" t="s">
        <v>174</v>
      </c>
      <c r="K30" s="675"/>
      <c r="L30" s="675"/>
      <c r="M30" s="675"/>
      <c r="N30" s="675"/>
      <c r="O30" s="675"/>
      <c r="P30" s="675"/>
      <c r="Q30" s="675"/>
      <c r="R30" s="82" t="s">
        <v>175</v>
      </c>
      <c r="S30" s="83">
        <f ca="1">IF($J17=$A$145,0,ROUND((((1+S21+S22+S23)*(1+S24)*(1+S25)/(1-(S26+S27+S28)))-1),4))</f>
        <v>0.27350000000000002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6" t="e">
        <f ca="1">IF(U29&lt;&gt;"ok","Anexo: Relatório Técnico Circunstanciado justificando a adoção do percentual de cada parcela do BDI.","")</f>
        <v>#N/A</v>
      </c>
      <c r="L32" s="676"/>
      <c r="M32" s="676"/>
      <c r="N32" s="676"/>
      <c r="O32" s="676"/>
      <c r="P32" s="676"/>
      <c r="Q32" s="676"/>
      <c r="R32" s="676"/>
      <c r="S32" s="676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8" t="s">
        <v>177</v>
      </c>
      <c r="K34" s="678"/>
      <c r="L34" s="678"/>
      <c r="M34" s="678"/>
      <c r="N34" s="678"/>
      <c r="O34" s="678"/>
      <c r="P34" s="678"/>
      <c r="Q34" s="678"/>
      <c r="R34" s="678"/>
      <c r="S34" s="678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9" t="s">
        <v>178</v>
      </c>
      <c r="N35" s="680" t="str">
        <f>IF($J17=$A$146,"(1+K1+K2)*(1+K3)","(1+AC + S + R + G)*(1 + DF)*(1+L)")</f>
        <v>(1+AC + S + R + G)*(1 + DF)*(1+L)</v>
      </c>
      <c r="O35" s="680"/>
      <c r="P35" s="680"/>
      <c r="Q35" s="681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9"/>
      <c r="N36" s="671" t="s">
        <v>180</v>
      </c>
      <c r="O36" s="671"/>
      <c r="P36" s="671"/>
      <c r="Q36" s="681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6"/>
      <c r="K43" s="666"/>
      <c r="L43" s="666"/>
      <c r="M43" s="666"/>
      <c r="N43" s="666"/>
      <c r="O43" s="666"/>
      <c r="P43" s="666"/>
      <c r="Q43" s="666"/>
      <c r="R43" s="666"/>
      <c r="S43" s="666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7" t="str">
        <f>Import.Município</f>
        <v>CÉU AZUL</v>
      </c>
      <c r="K45" s="667"/>
      <c r="L45" s="667"/>
      <c r="M45" s="667"/>
      <c r="P45" s="668">
        <f>DADOS!$F$25</f>
        <v>44628</v>
      </c>
      <c r="Q45" s="668"/>
      <c r="R45" s="668"/>
      <c r="S45" s="668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9" t="s">
        <v>187</v>
      </c>
      <c r="K46" s="669"/>
      <c r="L46" s="669"/>
      <c r="M46" s="669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70"/>
      <c r="K48" s="670"/>
      <c r="L48" s="670"/>
      <c r="M48" s="670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4" t="s">
        <v>189</v>
      </c>
      <c r="K49" s="664"/>
      <c r="L49" s="664"/>
      <c r="M49" s="66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6" t="s">
        <v>190</v>
      </c>
      <c r="K54" s="686"/>
      <c r="L54" s="686"/>
      <c r="M54" s="686"/>
      <c r="N54" s="686"/>
      <c r="O54" s="686"/>
      <c r="P54" s="686"/>
      <c r="Q54" s="686"/>
      <c r="R54" s="686"/>
      <c r="S54" s="68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4" t="s">
        <v>156</v>
      </c>
      <c r="K56" s="684"/>
      <c r="L56" s="684"/>
      <c r="M56" s="684"/>
      <c r="N56" s="684"/>
      <c r="O56" s="684"/>
      <c r="P56" s="684"/>
      <c r="Q56" s="684"/>
      <c r="R56" s="684"/>
      <c r="S56" s="684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5" t="s">
        <v>408</v>
      </c>
      <c r="K57" s="685"/>
      <c r="L57" s="685"/>
      <c r="M57" s="685"/>
      <c r="N57" s="685"/>
      <c r="O57" s="685"/>
      <c r="P57" s="685"/>
      <c r="Q57" s="685"/>
      <c r="R57" s="685"/>
      <c r="S57" s="685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3" t="s">
        <v>157</v>
      </c>
      <c r="K59" s="683"/>
      <c r="L59" s="683"/>
      <c r="M59" s="683"/>
      <c r="N59" s="683"/>
      <c r="O59" s="683"/>
      <c r="P59" s="683"/>
      <c r="Q59" s="683"/>
      <c r="R59" s="683" t="s">
        <v>158</v>
      </c>
      <c r="S59" s="674" t="s">
        <v>159</v>
      </c>
      <c r="U59" s="674" t="s">
        <v>160</v>
      </c>
      <c r="V59" s="674"/>
      <c r="W59" s="674"/>
      <c r="X59" s="682" t="s">
        <v>161</v>
      </c>
      <c r="Y59" s="682" t="s">
        <v>162</v>
      </c>
      <c r="Z59" s="68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3"/>
      <c r="K60" s="683"/>
      <c r="L60" s="683"/>
      <c r="M60" s="683"/>
      <c r="N60" s="683"/>
      <c r="O60" s="683"/>
      <c r="P60" s="683"/>
      <c r="Q60" s="683"/>
      <c r="R60" s="683"/>
      <c r="S60" s="674"/>
      <c r="U60" s="674"/>
      <c r="V60" s="674"/>
      <c r="W60" s="674"/>
      <c r="X60" s="682"/>
      <c r="Y60" s="682"/>
      <c r="Z60" s="68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2" t="str">
        <f>IF($J$17=$A$146,"Encargos Sociais incidentes sobre a mão de obra","Administração Central")</f>
        <v>Administração Central</v>
      </c>
      <c r="K61" s="672"/>
      <c r="L61" s="672"/>
      <c r="M61" s="672"/>
      <c r="N61" s="672"/>
      <c r="O61" s="672"/>
      <c r="P61" s="672"/>
      <c r="Q61" s="672"/>
      <c r="R61" s="77" t="str">
        <f>IF($J57=$A$146,"K1","AC")</f>
        <v>AC</v>
      </c>
      <c r="S61" s="78"/>
      <c r="U61" s="673" t="s">
        <v>165</v>
      </c>
      <c r="V61" s="673"/>
      <c r="W61" s="673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2" t="str">
        <f>IF($J$17=$A$146,"Administração Central da empresa ou consultoria - overhead","Seguro e Garantia")</f>
        <v>Seguro e Garantia</v>
      </c>
      <c r="K62" s="672"/>
      <c r="L62" s="672"/>
      <c r="M62" s="672"/>
      <c r="N62" s="672"/>
      <c r="O62" s="672"/>
      <c r="P62" s="672"/>
      <c r="Q62" s="672"/>
      <c r="R62" s="77" t="str">
        <f>IF($J57=$A$146,"K2","SG")</f>
        <v>SG</v>
      </c>
      <c r="S62" s="78"/>
      <c r="U62" s="673" t="s">
        <v>165</v>
      </c>
      <c r="V62" s="673"/>
      <c r="W62" s="673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2" t="str">
        <f>IF($J$17=$A$146,"","Risco")</f>
        <v>Risco</v>
      </c>
      <c r="K63" s="672"/>
      <c r="L63" s="672"/>
      <c r="M63" s="672"/>
      <c r="N63" s="672"/>
      <c r="O63" s="672"/>
      <c r="P63" s="672"/>
      <c r="Q63" s="672"/>
      <c r="R63" s="77" t="str">
        <f>IF($J57=$A$146,"","R")</f>
        <v>R</v>
      </c>
      <c r="S63" s="78"/>
      <c r="U63" s="673" t="s">
        <v>165</v>
      </c>
      <c r="V63" s="673"/>
      <c r="W63" s="673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2" t="str">
        <f>IF($J$17=$A$146,"","Despesas Financeiras")</f>
        <v>Despesas Financeiras</v>
      </c>
      <c r="K64" s="672"/>
      <c r="L64" s="672"/>
      <c r="M64" s="672"/>
      <c r="N64" s="672"/>
      <c r="O64" s="672"/>
      <c r="P64" s="672"/>
      <c r="Q64" s="672"/>
      <c r="R64" s="77" t="str">
        <f>IF($J57=$A$146,"","DF")</f>
        <v>DF</v>
      </c>
      <c r="S64" s="78"/>
      <c r="U64" s="673" t="s">
        <v>165</v>
      </c>
      <c r="V64" s="673"/>
      <c r="W64" s="673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2" t="str">
        <f>IF($J$17=$A$146,"Margem bruta da empresa de consultoria","Lucro")</f>
        <v>Lucro</v>
      </c>
      <c r="K65" s="672"/>
      <c r="L65" s="672"/>
      <c r="M65" s="672"/>
      <c r="N65" s="672"/>
      <c r="O65" s="672"/>
      <c r="P65" s="672"/>
      <c r="Q65" s="672"/>
      <c r="R65" s="77" t="str">
        <f>IF($J57=$A$146,"K3","L")</f>
        <v>L</v>
      </c>
      <c r="S65" s="78"/>
      <c r="U65" s="673" t="s">
        <v>165</v>
      </c>
      <c r="V65" s="673"/>
      <c r="W65" s="673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2" t="s">
        <v>167</v>
      </c>
      <c r="K66" s="672"/>
      <c r="L66" s="672"/>
      <c r="M66" s="672"/>
      <c r="N66" s="672"/>
      <c r="O66" s="672"/>
      <c r="P66" s="672"/>
      <c r="Q66" s="672"/>
      <c r="R66" s="77" t="s">
        <v>168</v>
      </c>
      <c r="S66" s="78"/>
      <c r="U66" s="673" t="s">
        <v>165</v>
      </c>
      <c r="V66" s="673"/>
      <c r="W66" s="673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2" t="s">
        <v>169</v>
      </c>
      <c r="K67" s="672"/>
      <c r="L67" s="672"/>
      <c r="M67" s="672"/>
      <c r="N67" s="672"/>
      <c r="O67" s="672"/>
      <c r="P67" s="672"/>
      <c r="Q67" s="672"/>
      <c r="R67" s="77" t="s">
        <v>170</v>
      </c>
      <c r="S67" s="79">
        <f ca="1">IF(AND($J57&lt;&gt;$A$145,COUNTA(OFFSET(S60,1,0,6))&gt;0),$R$11*$R$10,0)</f>
        <v>0</v>
      </c>
      <c r="U67" s="673" t="s">
        <v>165</v>
      </c>
      <c r="V67" s="673"/>
      <c r="W67" s="673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2" t="s">
        <v>171</v>
      </c>
      <c r="K68" s="672"/>
      <c r="L68" s="672"/>
      <c r="M68" s="672"/>
      <c r="N68" s="672"/>
      <c r="O68" s="672"/>
      <c r="P68" s="672"/>
      <c r="Q68" s="672"/>
      <c r="R68" s="77" t="s">
        <v>172</v>
      </c>
      <c r="S68" s="79">
        <f ca="1">IF(BDI.Opcao&lt;&gt;"Desonerado",0,IF(AND($J57&lt;&gt;$A$145,COUNTA(OFFSET(S60,1,0,6))&gt;0),4.5%,0%))</f>
        <v>0</v>
      </c>
      <c r="U68" s="673" t="s">
        <v>165</v>
      </c>
      <c r="V68" s="673"/>
      <c r="W68" s="673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2" t="s">
        <v>173</v>
      </c>
      <c r="K69" s="672"/>
      <c r="L69" s="672"/>
      <c r="M69" s="672"/>
      <c r="N69" s="672"/>
      <c r="O69" s="672"/>
      <c r="P69" s="672"/>
      <c r="Q69" s="672"/>
      <c r="R69" s="81" t="s">
        <v>149</v>
      </c>
      <c r="S69" s="79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5" t="s">
        <v>174</v>
      </c>
      <c r="K70" s="675"/>
      <c r="L70" s="675"/>
      <c r="M70" s="675"/>
      <c r="N70" s="675"/>
      <c r="O70" s="675"/>
      <c r="P70" s="675"/>
      <c r="Q70" s="675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6" t="e">
        <f ca="1">IF(U69&lt;&gt;"ok","Anexo: Relatório Técnico Circunstanciado justificando a adoção do percentual de cada parcela do BDI.","")</f>
        <v>#N/A</v>
      </c>
      <c r="L72" s="676"/>
      <c r="M72" s="676"/>
      <c r="N72" s="676"/>
      <c r="O72" s="676"/>
      <c r="P72" s="676"/>
      <c r="Q72" s="676"/>
      <c r="R72" s="676"/>
      <c r="S72" s="676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8" t="s">
        <v>177</v>
      </c>
      <c r="K74" s="678"/>
      <c r="L74" s="678"/>
      <c r="M74" s="678"/>
      <c r="N74" s="678"/>
      <c r="O74" s="678"/>
      <c r="P74" s="678"/>
      <c r="Q74" s="678"/>
      <c r="R74" s="678"/>
      <c r="S74" s="678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9" t="s">
        <v>178</v>
      </c>
      <c r="N75" s="680" t="str">
        <f>IF($J57=$A$146,"(1+K1+K2)*(1+K3)","(1+AC + S + R + G)*(1 + DF)*(1+L)")</f>
        <v>(1+AC + S + R + G)*(1 + DF)*(1+L)</v>
      </c>
      <c r="O75" s="680"/>
      <c r="P75" s="680"/>
      <c r="Q75" s="681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9"/>
      <c r="N76" s="671" t="s">
        <v>180</v>
      </c>
      <c r="O76" s="671"/>
      <c r="P76" s="671"/>
      <c r="Q76" s="681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5"/>
      <c r="L80" s="665"/>
      <c r="M80" s="665"/>
      <c r="N80" s="665"/>
      <c r="O80" s="665"/>
      <c r="P80" s="665"/>
      <c r="Q80" s="665"/>
      <c r="R80" s="665"/>
      <c r="S80" s="665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6"/>
      <c r="K83" s="666"/>
      <c r="L83" s="666"/>
      <c r="M83" s="666"/>
      <c r="N83" s="666"/>
      <c r="O83" s="666"/>
      <c r="P83" s="666"/>
      <c r="Q83" s="666"/>
      <c r="R83" s="666"/>
      <c r="S83" s="666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7" t="str">
        <f>Import.Município</f>
        <v>CÉU AZUL</v>
      </c>
      <c r="K85" s="667"/>
      <c r="L85" s="667"/>
      <c r="M85" s="667"/>
      <c r="P85" s="668">
        <f>DADOS!$F$25</f>
        <v>44628</v>
      </c>
      <c r="Q85" s="668"/>
      <c r="R85" s="668"/>
      <c r="S85" s="668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9" t="s">
        <v>187</v>
      </c>
      <c r="K86" s="669"/>
      <c r="L86" s="669"/>
      <c r="M86" s="669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0"/>
      <c r="K88" s="670"/>
      <c r="L88" s="670"/>
      <c r="M88" s="670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4" t="s">
        <v>189</v>
      </c>
      <c r="K89" s="664"/>
      <c r="L89" s="664"/>
      <c r="M89" s="66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6" t="s">
        <v>191</v>
      </c>
      <c r="K94" s="686"/>
      <c r="L94" s="686"/>
      <c r="M94" s="686"/>
      <c r="N94" s="686"/>
      <c r="O94" s="686"/>
      <c r="P94" s="686"/>
      <c r="Q94" s="686"/>
      <c r="R94" s="686"/>
      <c r="S94" s="68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4" t="s">
        <v>156</v>
      </c>
      <c r="K96" s="684"/>
      <c r="L96" s="684"/>
      <c r="M96" s="684"/>
      <c r="N96" s="684"/>
      <c r="O96" s="684"/>
      <c r="P96" s="684"/>
      <c r="Q96" s="684"/>
      <c r="R96" s="684"/>
      <c r="S96" s="684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5" t="s">
        <v>408</v>
      </c>
      <c r="K97" s="685"/>
      <c r="L97" s="685"/>
      <c r="M97" s="685"/>
      <c r="N97" s="685"/>
      <c r="O97" s="685"/>
      <c r="P97" s="685"/>
      <c r="Q97" s="685"/>
      <c r="R97" s="685"/>
      <c r="S97" s="685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3" t="s">
        <v>157</v>
      </c>
      <c r="K99" s="683"/>
      <c r="L99" s="683"/>
      <c r="M99" s="683"/>
      <c r="N99" s="683"/>
      <c r="O99" s="683"/>
      <c r="P99" s="683"/>
      <c r="Q99" s="683"/>
      <c r="R99" s="683" t="s">
        <v>158</v>
      </c>
      <c r="S99" s="674" t="s">
        <v>159</v>
      </c>
      <c r="U99" s="674" t="s">
        <v>160</v>
      </c>
      <c r="V99" s="674"/>
      <c r="W99" s="674"/>
      <c r="X99" s="682" t="s">
        <v>161</v>
      </c>
      <c r="Y99" s="682" t="s">
        <v>162</v>
      </c>
      <c r="Z99" s="68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3"/>
      <c r="K100" s="683"/>
      <c r="L100" s="683"/>
      <c r="M100" s="683"/>
      <c r="N100" s="683"/>
      <c r="O100" s="683"/>
      <c r="P100" s="683"/>
      <c r="Q100" s="683"/>
      <c r="R100" s="683"/>
      <c r="S100" s="674"/>
      <c r="U100" s="674"/>
      <c r="V100" s="674"/>
      <c r="W100" s="674"/>
      <c r="X100" s="682"/>
      <c r="Y100" s="682"/>
      <c r="Z100" s="68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2" t="str">
        <f>IF($J$17=$A$146,"Encargos Sociais incidentes sobre a mão de obra","Administração Central")</f>
        <v>Administração Central</v>
      </c>
      <c r="K101" s="672"/>
      <c r="L101" s="672"/>
      <c r="M101" s="672"/>
      <c r="N101" s="672"/>
      <c r="O101" s="672"/>
      <c r="P101" s="672"/>
      <c r="Q101" s="672"/>
      <c r="R101" s="77" t="str">
        <f>IF($J97=$A$146,"K1","AC")</f>
        <v>AC</v>
      </c>
      <c r="S101" s="78"/>
      <c r="U101" s="673" t="s">
        <v>165</v>
      </c>
      <c r="V101" s="673"/>
      <c r="W101" s="673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2" t="str">
        <f>IF($J$17=$A$146,"Administração Central da empresa ou consultoria - overhead","Seguro e Garantia")</f>
        <v>Seguro e Garantia</v>
      </c>
      <c r="K102" s="672"/>
      <c r="L102" s="672"/>
      <c r="M102" s="672"/>
      <c r="N102" s="672"/>
      <c r="O102" s="672"/>
      <c r="P102" s="672"/>
      <c r="Q102" s="672"/>
      <c r="R102" s="77" t="str">
        <f>IF($J97=$A$146,"K2","SG")</f>
        <v>SG</v>
      </c>
      <c r="S102" s="78"/>
      <c r="U102" s="673" t="s">
        <v>165</v>
      </c>
      <c r="V102" s="673"/>
      <c r="W102" s="673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2" t="str">
        <f>IF($J$17=$A$146,"","Risco")</f>
        <v>Risco</v>
      </c>
      <c r="K103" s="672"/>
      <c r="L103" s="672"/>
      <c r="M103" s="672"/>
      <c r="N103" s="672"/>
      <c r="O103" s="672"/>
      <c r="P103" s="672"/>
      <c r="Q103" s="672"/>
      <c r="R103" s="77" t="str">
        <f>IF($J97=$A$146,"","R")</f>
        <v>R</v>
      </c>
      <c r="S103" s="78"/>
      <c r="U103" s="673" t="s">
        <v>165</v>
      </c>
      <c r="V103" s="673"/>
      <c r="W103" s="673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2" t="str">
        <f>IF($J$17=$A$146,"","Despesas Financeiras")</f>
        <v>Despesas Financeiras</v>
      </c>
      <c r="K104" s="672"/>
      <c r="L104" s="672"/>
      <c r="M104" s="672"/>
      <c r="N104" s="672"/>
      <c r="O104" s="672"/>
      <c r="P104" s="672"/>
      <c r="Q104" s="672"/>
      <c r="R104" s="77" t="str">
        <f>IF($J97=$A$146,"","DF")</f>
        <v>DF</v>
      </c>
      <c r="S104" s="78"/>
      <c r="U104" s="673" t="s">
        <v>165</v>
      </c>
      <c r="V104" s="673"/>
      <c r="W104" s="673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2" t="str">
        <f>IF($J$17=$A$146,"Margem bruta da empresa de consultoria","Lucro")</f>
        <v>Lucro</v>
      </c>
      <c r="K105" s="672"/>
      <c r="L105" s="672"/>
      <c r="M105" s="672"/>
      <c r="N105" s="672"/>
      <c r="O105" s="672"/>
      <c r="P105" s="672"/>
      <c r="Q105" s="672"/>
      <c r="R105" s="77" t="str">
        <f>IF($J97=$A$146,"K3","L")</f>
        <v>L</v>
      </c>
      <c r="S105" s="78"/>
      <c r="U105" s="673" t="s">
        <v>165</v>
      </c>
      <c r="V105" s="673"/>
      <c r="W105" s="673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2" t="s">
        <v>167</v>
      </c>
      <c r="K106" s="672"/>
      <c r="L106" s="672"/>
      <c r="M106" s="672"/>
      <c r="N106" s="672"/>
      <c r="O106" s="672"/>
      <c r="P106" s="672"/>
      <c r="Q106" s="672"/>
      <c r="R106" s="77" t="s">
        <v>168</v>
      </c>
      <c r="S106" s="78"/>
      <c r="U106" s="673" t="s">
        <v>165</v>
      </c>
      <c r="V106" s="673"/>
      <c r="W106" s="673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2" t="s">
        <v>169</v>
      </c>
      <c r="K107" s="672"/>
      <c r="L107" s="672"/>
      <c r="M107" s="672"/>
      <c r="N107" s="672"/>
      <c r="O107" s="672"/>
      <c r="P107" s="672"/>
      <c r="Q107" s="672"/>
      <c r="R107" s="77" t="s">
        <v>170</v>
      </c>
      <c r="S107" s="79">
        <f ca="1">IF(AND($J97&lt;&gt;$A$145,COUNTA(OFFSET(S100,1,0,6))&gt;0),$R$11*$R$10,0)</f>
        <v>0</v>
      </c>
      <c r="U107" s="673" t="s">
        <v>165</v>
      </c>
      <c r="V107" s="673"/>
      <c r="W107" s="673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2" t="s">
        <v>171</v>
      </c>
      <c r="K108" s="672"/>
      <c r="L108" s="672"/>
      <c r="M108" s="672"/>
      <c r="N108" s="672"/>
      <c r="O108" s="672"/>
      <c r="P108" s="672"/>
      <c r="Q108" s="672"/>
      <c r="R108" s="77" t="s">
        <v>172</v>
      </c>
      <c r="S108" s="79">
        <f ca="1">IF(BDI.Opcao&lt;&gt;"Desonerado",0,IF(AND($J97&lt;&gt;$A$145,COUNTA(OFFSET(S100,1,0,6))&gt;0),4.5%,0%))</f>
        <v>0</v>
      </c>
      <c r="U108" s="673" t="s">
        <v>165</v>
      </c>
      <c r="V108" s="673"/>
      <c r="W108" s="673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2" t="s">
        <v>173</v>
      </c>
      <c r="K109" s="672"/>
      <c r="L109" s="672"/>
      <c r="M109" s="672"/>
      <c r="N109" s="672"/>
      <c r="O109" s="672"/>
      <c r="P109" s="672"/>
      <c r="Q109" s="672"/>
      <c r="R109" s="81" t="s">
        <v>149</v>
      </c>
      <c r="S109" s="79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5" t="s">
        <v>174</v>
      </c>
      <c r="K110" s="675"/>
      <c r="L110" s="675"/>
      <c r="M110" s="675"/>
      <c r="N110" s="675"/>
      <c r="O110" s="675"/>
      <c r="P110" s="675"/>
      <c r="Q110" s="675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6" t="e">
        <f ca="1">IF(U109&lt;&gt;"ok","Anexo: Relatório Técnico Circunstanciado justificando a adoção do percentual de cada parcela do BDI.","")</f>
        <v>#N/A</v>
      </c>
      <c r="L112" s="676"/>
      <c r="M112" s="676"/>
      <c r="N112" s="676"/>
      <c r="O112" s="676"/>
      <c r="P112" s="676"/>
      <c r="Q112" s="676"/>
      <c r="R112" s="676"/>
      <c r="S112" s="676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8" t="s">
        <v>177</v>
      </c>
      <c r="K114" s="678"/>
      <c r="L114" s="678"/>
      <c r="M114" s="678"/>
      <c r="N114" s="678"/>
      <c r="O114" s="678"/>
      <c r="P114" s="678"/>
      <c r="Q114" s="678"/>
      <c r="R114" s="678"/>
      <c r="S114" s="678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9" t="s">
        <v>178</v>
      </c>
      <c r="N115" s="680" t="str">
        <f>IF($J97=$A$146,"(1+K1+K2)*(1+K3)","(1+AC + S + R + G)*(1 + DF)*(1+L)")</f>
        <v>(1+AC + S + R + G)*(1 + DF)*(1+L)</v>
      </c>
      <c r="O115" s="680"/>
      <c r="P115" s="680"/>
      <c r="Q115" s="681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9"/>
      <c r="N116" s="671" t="s">
        <v>180</v>
      </c>
      <c r="O116" s="671"/>
      <c r="P116" s="671"/>
      <c r="Q116" s="681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5"/>
      <c r="L118" s="665"/>
      <c r="M118" s="665"/>
      <c r="N118" s="665"/>
      <c r="O118" s="665"/>
      <c r="P118" s="665"/>
      <c r="Q118" s="665"/>
      <c r="R118" s="665"/>
      <c r="S118" s="665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7" t="str">
        <f>Import.Município</f>
        <v>CÉU AZUL</v>
      </c>
      <c r="K125" s="667"/>
      <c r="L125" s="667"/>
      <c r="M125" s="667"/>
      <c r="P125" s="668">
        <f>DADOS!$F$25</f>
        <v>44628</v>
      </c>
      <c r="Q125" s="668"/>
      <c r="R125" s="668"/>
      <c r="S125" s="668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9" t="s">
        <v>187</v>
      </c>
      <c r="K126" s="669"/>
      <c r="L126" s="669"/>
      <c r="M126" s="669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0"/>
      <c r="K128" s="670"/>
      <c r="L128" s="670"/>
      <c r="M128" s="670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4" t="s">
        <v>189</v>
      </c>
      <c r="K129" s="664"/>
      <c r="L129" s="664"/>
      <c r="M129" s="66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9" priority="2" stopIfTrue="1">
      <formula>DESONERACAO="não"</formula>
    </cfRule>
  </conditionalFormatting>
  <conditionalFormatting sqref="U29:W29 U69:W69 U109:W109">
    <cfRule type="expression" dxfId="1158" priority="3" stopIfTrue="1">
      <formula>AND(U29&lt;&gt;"OK",U29&lt;&gt;"-",U29&lt;&gt;"")</formula>
    </cfRule>
    <cfRule type="cellIs" dxfId="1157" priority="4" stopIfTrue="1" operator="equal">
      <formula>"OK"</formula>
    </cfRule>
  </conditionalFormatting>
  <conditionalFormatting sqref="S29 S69 S109">
    <cfRule type="expression" dxfId="1156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61" activePane="bottomRight" state="frozen"/>
      <selection activeCell="L1" sqref="L1"/>
      <selection pane="topRight" activeCell="T1" sqref="T1"/>
      <selection pane="bottomLeft" activeCell="L16" sqref="L16"/>
      <selection pane="bottomRight" activeCell="R97" sqref="R97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4" t="s">
        <v>439</v>
      </c>
      <c r="P4" s="684"/>
      <c r="Q4" s="112" t="s">
        <v>440</v>
      </c>
      <c r="R4" s="112" t="s">
        <v>146</v>
      </c>
      <c r="S4" s="684" t="s">
        <v>201</v>
      </c>
      <c r="T4" s="684"/>
      <c r="U4" s="684"/>
      <c r="V4" s="684"/>
      <c r="W4" s="684"/>
      <c r="X4" s="684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0.27350000000000002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7">
        <f>Import.CR</f>
        <v>0</v>
      </c>
      <c r="P5" s="687"/>
      <c r="Q5" s="118">
        <f>Import.SICONV</f>
        <v>0</v>
      </c>
      <c r="R5" s="119" t="str">
        <f>Import.Proponente</f>
        <v>MUNICIPIO DE CÉU AZUL</v>
      </c>
      <c r="S5" s="687" t="str">
        <f>Import.Apelido</f>
        <v>REFORMA UBS NOVA UNIÃO</v>
      </c>
      <c r="T5" s="687"/>
      <c r="U5" s="687"/>
      <c r="V5" s="687"/>
      <c r="W5" s="687"/>
      <c r="X5" s="687"/>
      <c r="Y5" s="120"/>
      <c r="Z5" s="120"/>
      <c r="AA5" s="120"/>
      <c r="AB5" s="120"/>
      <c r="AC5" s="105"/>
      <c r="AE5" s="694" t="s">
        <v>199</v>
      </c>
      <c r="AF5" s="694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4" t="s">
        <v>203</v>
      </c>
      <c r="P7" s="684"/>
      <c r="Q7" s="112" t="s">
        <v>204</v>
      </c>
      <c r="R7" s="112" t="str">
        <f>IF(TIPOORCAMENTO="Licitado","NOME DA EMPRESA","DESCRIÇÃO DO LOTE")</f>
        <v>DESCRIÇÃO DO LOTE</v>
      </c>
      <c r="S7" s="695" t="str">
        <f>IF(TIPOORCAMENTO="Licitado","REGIME DE EXECUÇÃO","MUNICÍPIO / UF")</f>
        <v>MUNICÍPIO / UF</v>
      </c>
      <c r="T7" s="695"/>
      <c r="U7" s="695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8" t="s">
        <v>206</v>
      </c>
      <c r="AL7" s="696" t="s">
        <v>207</v>
      </c>
    </row>
    <row r="8" spans="1:40" ht="12.75" customHeight="1" x14ac:dyDescent="0.2">
      <c r="A8" s="115"/>
      <c r="B8" s="115"/>
      <c r="C8" s="115"/>
      <c r="D8" s="105"/>
      <c r="F8" s="699" t="str">
        <f ca="1">IF(LEN(INFO("release"))&gt;5,"'Referência "&amp;Excel_BuiltIn_Database&amp;".xls'#Banco.$a5:$a$65536","'[Referência "&amp;Excel_BuiltIn_Database&amp;".xls]Banco'!$a5:$a$65536")</f>
        <v>'[Referência 05-2021.xls]Banco'!$a5:$a$65536</v>
      </c>
      <c r="G8" s="699"/>
      <c r="H8" s="699"/>
      <c r="I8" s="699"/>
      <c r="J8" s="699"/>
      <c r="K8" s="699"/>
      <c r="L8" s="677" t="s">
        <v>208</v>
      </c>
      <c r="M8" s="105"/>
      <c r="N8" s="105"/>
      <c r="O8" s="687" t="str">
        <f ca="1">IF(ISERROR(INDIRECT($F$9)),"(N/D: 'Referência "&amp;Excel_BuiltIn_Database&amp;".xls)",INDIRECT($F$9))</f>
        <v>CURITIBA</v>
      </c>
      <c r="P8" s="687"/>
      <c r="Q8" s="129" t="str">
        <f ca="1">TEXT(Import.DataBase,"mm-aa")&amp;IF(DESONERACAO="Sim"," (DES.)"," (N DES.)")</f>
        <v>05-21 (DES.)</v>
      </c>
      <c r="R8" s="119">
        <f>IF(TIPOORCAMENTO="Licitado",Import.empresa,Import.DescLote)</f>
        <v>0</v>
      </c>
      <c r="S8" s="700" t="str">
        <f>IF(TIPOORCAMENTO="Licitado",Import.RegimeExecução,Import.Município)</f>
        <v>CÉU AZUL</v>
      </c>
      <c r="T8" s="700"/>
      <c r="U8" s="700"/>
      <c r="V8" s="130" t="str">
        <f ca="1">IF(TIPOORCAMENTO="Licitado","",TEXT(F5,"0,00%"))</f>
        <v>27,35%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7" t="s">
        <v>209</v>
      </c>
      <c r="Z8" s="677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8"/>
      <c r="AL8" s="696"/>
      <c r="AN8" s="105"/>
    </row>
    <row r="9" spans="1:40" ht="12.75" customHeight="1" x14ac:dyDescent="0.2">
      <c r="A9" s="105"/>
      <c r="B9" s="105"/>
      <c r="C9" s="105"/>
      <c r="D9" s="105"/>
      <c r="F9" s="699" t="str">
        <f ca="1">IF(LEN(INFO("release"))&gt;5,"'Referência "&amp;Excel_BuiltIn_Database&amp;".xls'#Banco.$d$3","'[Referência "&amp;Excel_BuiltIn_Database&amp;".xls]Banco'!$d$3")</f>
        <v>'[Referência 05-2021.xls]Banco'!$d$3</v>
      </c>
      <c r="G9" s="699"/>
      <c r="H9" s="699"/>
      <c r="I9" s="699"/>
      <c r="J9" s="699"/>
      <c r="K9" s="699"/>
      <c r="L9" s="677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7"/>
      <c r="Z9" s="677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8"/>
      <c r="AL9" s="696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7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7"/>
      <c r="Z10" s="677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8"/>
      <c r="AL10" s="696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7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7"/>
      <c r="Z11" s="677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698"/>
      <c r="AL11" s="696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7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7"/>
      <c r="Z12" s="677"/>
      <c r="AA12" s="697" t="s">
        <v>215</v>
      </c>
      <c r="AB12" s="697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0.27350000000000002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2">
        <f>Import.DescLote</f>
        <v>0</v>
      </c>
      <c r="P15" s="702"/>
      <c r="Q15" s="702"/>
      <c r="R15" s="702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55942.83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55942.83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55942.83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6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6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IF($C16="S",REFERENCIA.Descricao,"(PLACA DE OBRA)")</f>
        <v>(PLACA DE OBRA)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1081.94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1081.94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53"/>
      <c r="AL16" s="574"/>
      <c r="AM16" s="431">
        <f t="shared" ca="1" si="0"/>
        <v>1081.94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0</v>
      </c>
      <c r="B17">
        <f t="shared" ca="1" si="2"/>
        <v>2</v>
      </c>
      <c r="C17">
        <f t="shared" ca="1" si="3"/>
        <v>2</v>
      </c>
      <c r="D17">
        <f t="shared" ca="1" si="4"/>
        <v>1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5</v>
      </c>
      <c r="K17">
        <f ca="1">IF(OR($C17="S",$C17=0),0,MATCH(OFFSET($D17,0,$C17)+IF($C17&lt;&gt;1,1,COUNTIF(QCI!$A$13:$A$24,ORÇAMENTO!E17)),OFFSET($D17,1,$C17,ROW($C$266)-ROW($C17)),0))</f>
        <v>1</v>
      </c>
      <c r="L17" s="144" t="str">
        <f t="shared" ca="1" si="10"/>
        <v>F</v>
      </c>
      <c r="M17" s="658"/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/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0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0</v>
      </c>
      <c r="AB17" s="158">
        <f t="shared" ca="1" si="17"/>
        <v>0</v>
      </c>
      <c r="AC17" s="159" t="str">
        <f t="shared" ca="1" si="18"/>
        <v>DESCRIÇÃO</v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0.27350000000000002</v>
      </c>
      <c r="AJ17" s="553"/>
      <c r="AL17" s="574"/>
      <c r="AM17" s="431">
        <f t="shared" ca="1" si="0"/>
        <v>0</v>
      </c>
      <c r="AN17" s="617">
        <f t="shared" ca="1" si="23"/>
        <v>0</v>
      </c>
    </row>
    <row r="18" spans="1:40" x14ac:dyDescent="0.2">
      <c r="A18">
        <f t="shared" si="1"/>
        <v>2</v>
      </c>
      <c r="B18">
        <f t="shared" ca="1" si="2"/>
        <v>2</v>
      </c>
      <c r="C18">
        <f t="shared" ca="1" si="3"/>
        <v>2</v>
      </c>
      <c r="D18">
        <f t="shared" ca="1" si="4"/>
        <v>4</v>
      </c>
      <c r="E18">
        <f ca="1">IF($C18=1,OFFSET(E18,-1,0)+MAX(1,COUNTIF(QCI!$A$13:$A$24,OFFSET(ORÇAMENTO!E18,-1,0))),OFFSET(E18,-1,0))</f>
        <v>1</v>
      </c>
      <c r="F18">
        <f t="shared" ca="1" si="5"/>
        <v>2</v>
      </c>
      <c r="G18">
        <f t="shared" ca="1" si="6"/>
        <v>0</v>
      </c>
      <c r="H18">
        <f t="shared" ca="1" si="7"/>
        <v>0</v>
      </c>
      <c r="I18">
        <f t="shared" ca="1" si="8"/>
        <v>0</v>
      </c>
      <c r="J18">
        <f t="shared" ca="1" si="9"/>
        <v>4</v>
      </c>
      <c r="K18" t="e">
        <f ca="1">IF(OR($C18="S",$C18=0),0,MATCH(OFFSET($D18,0,$C18)+IF($C18&lt;&gt;1,1,COUNTIF(QCI!$A$13:$A$24,ORÇAMENTO!E18)),OFFSET($D18,1,$C18,ROW($C$266)-ROW($C18)),0))</f>
        <v>#N/A</v>
      </c>
      <c r="L18" s="144" t="str">
        <f t="shared" ca="1" si="10"/>
        <v>F</v>
      </c>
      <c r="M18" s="145" t="s">
        <v>195</v>
      </c>
      <c r="N18" s="146" t="str">
        <f t="shared" ca="1" si="11"/>
        <v>Nível 2</v>
      </c>
      <c r="O18" s="147" t="str">
        <f t="shared" ca="1" si="12"/>
        <v>1.2.</v>
      </c>
      <c r="P18" s="148" t="s">
        <v>449</v>
      </c>
      <c r="Q18" s="149" t="s">
        <v>450</v>
      </c>
      <c r="R18" s="150" t="str">
        <f ca="1">IF($C18="S",REFERENCIA.Descricao,"(SERVIÇOS INICIAIS)")</f>
        <v>(SERVIÇOS INICIAIS)</v>
      </c>
      <c r="S18" s="151" t="str">
        <f t="shared" ca="1" si="13"/>
        <v>-</v>
      </c>
      <c r="T18" s="152">
        <f ca="1">OFFSET(CÁLCULO!H$15,ROW($T18)-ROW(T$15),0)</f>
        <v>0</v>
      </c>
      <c r="U18" s="153">
        <v>856.04</v>
      </c>
      <c r="V18" s="154" t="s">
        <v>155</v>
      </c>
      <c r="W18" s="152">
        <f t="shared" ca="1" si="14"/>
        <v>0</v>
      </c>
      <c r="X18" s="155">
        <f t="shared" ca="1" si="15"/>
        <v>1081.94</v>
      </c>
      <c r="Y18" s="156" t="s">
        <v>244</v>
      </c>
      <c r="Z18" t="str">
        <f t="shared" ca="1" si="16"/>
        <v/>
      </c>
      <c r="AA18" s="157">
        <f ca="1">IF($C18="S",IF($Z18="CP",$X18,IF($Z18="RA",(($X18)*QCI!$AA$3),0)),SomaAgrup)</f>
        <v>1081.94</v>
      </c>
      <c r="AB18" s="158">
        <f t="shared" ca="1" si="17"/>
        <v>0</v>
      </c>
      <c r="AC18" s="159" t="str">
        <f t="shared" ca="1" si="18"/>
        <v/>
      </c>
      <c r="AD18" s="105">
        <f ca="1">IF(C18&lt;=CRONO.NivelExibicao,MAX($AD$15:OFFSET(AD18,-1,0))+IF($C18&lt;&gt;1,1,MAX(1,COUNTIF(QCI!$A$13:$A$24,OFFSET($E18,-1,0)))),"")</f>
        <v>3</v>
      </c>
      <c r="AE18" s="115" t="b">
        <f t="shared" ca="1" si="19"/>
        <v>0</v>
      </c>
      <c r="AF18" s="160" t="str">
        <f t="shared" ca="1" si="20"/>
        <v>(Sem Código)</v>
      </c>
      <c r="AG18" s="550">
        <f t="shared" ca="1" si="21"/>
        <v>0</v>
      </c>
      <c r="AH18" s="551">
        <f t="shared" ca="1" si="22"/>
        <v>0.27350000000000002</v>
      </c>
      <c r="AJ18" s="553">
        <v>1</v>
      </c>
      <c r="AL18" s="574"/>
      <c r="AM18" s="431">
        <f t="shared" ca="1" si="0"/>
        <v>1081.94</v>
      </c>
      <c r="AN18" s="617">
        <f t="shared" ca="1" si="23"/>
        <v>1090.17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2</v>
      </c>
      <c r="G19">
        <f t="shared" ca="1" si="6"/>
        <v>0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1.2.1.</v>
      </c>
      <c r="P19" s="148" t="s">
        <v>449</v>
      </c>
      <c r="Q19" s="149" t="s">
        <v>450</v>
      </c>
      <c r="R19" s="150" t="str">
        <f t="shared" ref="R19:R77" ca="1" si="24">IF($C19="S",REFERENCIA.Descricao,"(digite a descrição aqui)")</f>
        <v>PLACA DE OBRA EM CHAPA GALVANIZADA ADESIVADA COM SUPORTE DE MADEIRA</v>
      </c>
      <c r="S19" s="151" t="str">
        <f t="shared" ca="1" si="13"/>
        <v>UNIDADE</v>
      </c>
      <c r="T19" s="152">
        <f ca="1">OFFSET(CÁLCULO!H$15,ROW($T19)-ROW(T$15),0)</f>
        <v>1</v>
      </c>
      <c r="U19" s="153">
        <v>849.58</v>
      </c>
      <c r="V19" s="154" t="s">
        <v>155</v>
      </c>
      <c r="W19" s="152">
        <f t="shared" ca="1" si="14"/>
        <v>1081.94</v>
      </c>
      <c r="X19" s="155">
        <f t="shared" ca="1" si="15"/>
        <v>1081.94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1081.94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Composição 001</v>
      </c>
      <c r="AF19" s="160">
        <f t="shared" ca="1" si="20"/>
        <v>3</v>
      </c>
      <c r="AG19" s="550">
        <f t="shared" ca="1" si="21"/>
        <v>849.58</v>
      </c>
      <c r="AH19" s="551">
        <f t="shared" ca="1" si="22"/>
        <v>0.27350000000000002</v>
      </c>
      <c r="AJ19" s="553">
        <v>1</v>
      </c>
      <c r="AL19" s="574"/>
      <c r="AM19" s="431">
        <f t="shared" ca="1" si="0"/>
        <v>1081.94</v>
      </c>
      <c r="AN19" s="617">
        <f t="shared" ca="1" si="23"/>
        <v>1081.94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2</v>
      </c>
      <c r="G20">
        <f t="shared" ca="1" si="6"/>
        <v>0</v>
      </c>
      <c r="H20">
        <f t="shared" ca="1" si="7"/>
        <v>0</v>
      </c>
      <c r="I20">
        <f t="shared" ca="1" si="8"/>
        <v>1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0.27350000000000002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0.27350000000000002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x14ac:dyDescent="0.2">
      <c r="A22">
        <f t="shared" si="1"/>
        <v>1</v>
      </c>
      <c r="B22">
        <f t="shared" ca="1" si="2"/>
        <v>1</v>
      </c>
      <c r="C22">
        <f t="shared" ca="1" si="3"/>
        <v>1</v>
      </c>
      <c r="D22">
        <f t="shared" ca="1" si="4"/>
        <v>36</v>
      </c>
      <c r="E22">
        <f ca="1">IF($C22=1,OFFSET(E22,-1,0)+MAX(1,COUNTIF(QCI!$A$13:$A$24,OFFSET(ORÇAMENTO!E22,-1,0))),OFFSET(E22,-1,0))</f>
        <v>2</v>
      </c>
      <c r="F22">
        <f t="shared" ca="1" si="5"/>
        <v>0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36</v>
      </c>
      <c r="L22" s="144" t="str">
        <f t="shared" ca="1" si="10"/>
        <v>F</v>
      </c>
      <c r="M22" s="145" t="s">
        <v>194</v>
      </c>
      <c r="N22" s="146" t="str">
        <f t="shared" ca="1" si="11"/>
        <v>Meta</v>
      </c>
      <c r="O22" s="147" t="str">
        <f t="shared" ca="1" si="12"/>
        <v>2.</v>
      </c>
      <c r="P22" s="148" t="s">
        <v>246</v>
      </c>
      <c r="Q22" s="149"/>
      <c r="R22" s="150" t="s">
        <v>464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7259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7259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4</v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0.27350000000000002</v>
      </c>
      <c r="AJ22" s="553"/>
      <c r="AL22" s="574"/>
      <c r="AM22" s="431">
        <f t="shared" ca="1" si="0"/>
        <v>7259</v>
      </c>
      <c r="AN22" s="617">
        <f t="shared" ca="1" si="23"/>
        <v>0</v>
      </c>
    </row>
    <row r="23" spans="1:40" x14ac:dyDescent="0.2">
      <c r="A23" t="str">
        <f t="shared" si="1"/>
        <v>S</v>
      </c>
      <c r="B23">
        <f t="shared" ca="1" si="2"/>
        <v>2</v>
      </c>
      <c r="C23">
        <f t="shared" ca="1" si="3"/>
        <v>2</v>
      </c>
      <c r="D23">
        <f t="shared" ca="1" si="4"/>
        <v>35</v>
      </c>
      <c r="E23">
        <f ca="1">IF($C23=1,OFFSET(E23,-1,0)+MAX(1,COUNTIF(QCI!$A$13:$A$24,OFFSET(ORÇAMENTO!E23,-1,0))),OFFSET(E23,-1,0))</f>
        <v>2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0</v>
      </c>
      <c r="J23">
        <f t="shared" ca="1" si="9"/>
        <v>35</v>
      </c>
      <c r="K23" t="e">
        <f ca="1">IF(OR($C23="S",$C23=0),0,MATCH(OFFSET($D23,0,$C23)+IF($C23&lt;&gt;1,1,COUNTIF(QCI!$A$13:$A$24,ORÇAMENTO!E23)),OFFSET($D23,1,$C23,ROW($C$266)-ROW($C23)),0))</f>
        <v>#N/A</v>
      </c>
      <c r="L23" s="144" t="str">
        <f t="shared" ca="1" si="10"/>
        <v>F</v>
      </c>
      <c r="M23" s="145" t="s">
        <v>198</v>
      </c>
      <c r="N23" s="146" t="str">
        <f t="shared" ca="1" si="11"/>
        <v>Nível 2</v>
      </c>
      <c r="O23" s="147" t="str">
        <f t="shared" ca="1" si="12"/>
        <v>2.1.</v>
      </c>
      <c r="P23" s="148" t="s">
        <v>246</v>
      </c>
      <c r="Q23" s="149"/>
      <c r="R23" s="150"/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7259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7259</v>
      </c>
      <c r="AB23" s="158">
        <f t="shared" ca="1" si="17"/>
        <v>0</v>
      </c>
      <c r="AC23" s="159" t="str">
        <f t="shared" ca="1" si="18"/>
        <v>DESCRIÇÃO</v>
      </c>
      <c r="AD23" s="105">
        <f ca="1">IF(C23&lt;=CRONO.NivelExibicao,MAX($AD$15:OFFSET(AD23,-1,0))+IF($C23&lt;&gt;1,1,MAX(1,COUNTIF(QCI!$A$13:$A$24,OFFSET($E23,-1,0)))),"")</f>
        <v>5</v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0.27350000000000002</v>
      </c>
      <c r="AJ23" s="553"/>
      <c r="AL23" s="574"/>
      <c r="AM23" s="431">
        <f t="shared" ca="1" si="0"/>
        <v>7259</v>
      </c>
      <c r="AN23" s="617">
        <f t="shared" ca="1" si="23"/>
        <v>0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2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1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2.1.1.</v>
      </c>
      <c r="P24" s="148" t="s">
        <v>453</v>
      </c>
      <c r="Q24" s="149" t="s">
        <v>452</v>
      </c>
      <c r="R24" s="150" t="str">
        <f t="shared" ca="1" si="24"/>
        <v>REPARO EM TRINCA DE PAREDE COM TELA SELA TRINCA</v>
      </c>
      <c r="S24" s="151" t="str">
        <f t="shared" ca="1" si="13"/>
        <v>M2</v>
      </c>
      <c r="T24" s="152">
        <f ca="1">OFFSET(CÁLCULO!H$15,ROW($T24)-ROW(T$15),0)</f>
        <v>25</v>
      </c>
      <c r="U24" s="153">
        <v>48</v>
      </c>
      <c r="V24" s="154" t="s">
        <v>155</v>
      </c>
      <c r="W24" s="152">
        <f t="shared" ca="1" si="14"/>
        <v>61.13</v>
      </c>
      <c r="X24" s="155">
        <f t="shared" ca="1" si="15"/>
        <v>1528.25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1528.25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Cotação 002</v>
      </c>
      <c r="AF24" s="160">
        <f t="shared" ca="1" si="20"/>
        <v>20</v>
      </c>
      <c r="AG24" s="550">
        <f t="shared" ca="1" si="21"/>
        <v>48</v>
      </c>
      <c r="AH24" s="551">
        <f t="shared" ca="1" si="22"/>
        <v>0.27350000000000002</v>
      </c>
      <c r="AJ24" s="553">
        <v>25</v>
      </c>
      <c r="AL24" s="574"/>
      <c r="AM24" s="431">
        <f t="shared" ca="1" si="0"/>
        <v>1528.25</v>
      </c>
      <c r="AN24" s="617">
        <f t="shared" ca="1" si="23"/>
        <v>61.13</v>
      </c>
    </row>
    <row r="25" spans="1:40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2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2.1.2.</v>
      </c>
      <c r="P25" s="148" t="s">
        <v>453</v>
      </c>
      <c r="Q25" s="149" t="s">
        <v>454</v>
      </c>
      <c r="R25" s="150" t="str">
        <f t="shared" ca="1" si="24"/>
        <v xml:space="preserve">REPARO E FIXAÇÃO DE FORRO E TARRUGAMENTO </v>
      </c>
      <c r="S25" s="151" t="str">
        <f t="shared" ca="1" si="13"/>
        <v>M2</v>
      </c>
      <c r="T25" s="152">
        <f ca="1">OFFSET(CÁLCULO!H$15,ROW($T25)-ROW(T$15),0)</f>
        <v>75</v>
      </c>
      <c r="U25" s="153">
        <v>60</v>
      </c>
      <c r="V25" s="154" t="s">
        <v>155</v>
      </c>
      <c r="W25" s="152">
        <f t="shared" ca="1" si="14"/>
        <v>76.41</v>
      </c>
      <c r="X25" s="155">
        <f t="shared" ca="1" si="15"/>
        <v>5730.75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5730.75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Cotação 003</v>
      </c>
      <c r="AF25" s="160">
        <f t="shared" ca="1" si="20"/>
        <v>21</v>
      </c>
      <c r="AG25" s="550">
        <f t="shared" ca="1" si="21"/>
        <v>60</v>
      </c>
      <c r="AH25" s="551">
        <f t="shared" ca="1" si="22"/>
        <v>0.27350000000000002</v>
      </c>
      <c r="AJ25" s="553">
        <v>75</v>
      </c>
      <c r="AL25" s="574"/>
      <c r="AM25" s="431">
        <f t="shared" ca="1" si="0"/>
        <v>5730.75</v>
      </c>
      <c r="AN25" s="617">
        <f t="shared" ca="1" si="23"/>
        <v>76.41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2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2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/>
      </c>
      <c r="M26" s="145" t="s">
        <v>198</v>
      </c>
      <c r="N26" s="146" t="str">
        <f t="shared" ca="1" si="11"/>
        <v>Serviço</v>
      </c>
      <c r="O26" s="147" t="str">
        <f t="shared" ca="1" si="12"/>
        <v>-</v>
      </c>
      <c r="P26" s="148" t="s">
        <v>451</v>
      </c>
      <c r="Q26" s="149"/>
      <c r="R26" s="150" t="str">
        <f t="shared" ca="1" si="24"/>
        <v>(Sem Código)</v>
      </c>
      <c r="S26" s="151" t="str">
        <f t="shared" ca="1" si="13"/>
        <v>-</v>
      </c>
      <c r="T26" s="152">
        <f ca="1">OFFSET(CÁLCULO!H$15,ROW($T26)-ROW(T$15),0)</f>
        <v>0</v>
      </c>
      <c r="U26" s="153"/>
      <c r="V26" s="154" t="s">
        <v>155</v>
      </c>
      <c r="W26" s="152">
        <f t="shared" ca="1" si="14"/>
        <v>0</v>
      </c>
      <c r="X26" s="155">
        <f t="shared" ca="1" si="15"/>
        <v>0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0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b">
        <f t="shared" ca="1" si="19"/>
        <v>0</v>
      </c>
      <c r="AF26" s="160" t="str">
        <f t="shared" ca="1" si="20"/>
        <v>(Sem Código)</v>
      </c>
      <c r="AG26" s="550">
        <f t="shared" ca="1" si="21"/>
        <v>0</v>
      </c>
      <c r="AH26" s="551">
        <f t="shared" ca="1" si="22"/>
        <v>0.27350000000000002</v>
      </c>
      <c r="AJ26" s="553"/>
      <c r="AL26" s="574"/>
      <c r="AM26" s="431">
        <f t="shared" ca="1" si="0"/>
        <v>0</v>
      </c>
      <c r="AN26" s="617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2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2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451</v>
      </c>
      <c r="Q27" s="149"/>
      <c r="R27" s="150" t="str">
        <f t="shared" ca="1" si="24"/>
        <v>(Sem Código)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0.27350000000000002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2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2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246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0.27350000000000002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2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(Sem Código)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0.27350000000000002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2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2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(Sem Código)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0.27350000000000002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2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(Sem Código)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(Sem Código)</v>
      </c>
      <c r="AG31" s="550">
        <f t="shared" ca="1" si="21"/>
        <v>0</v>
      </c>
      <c r="AH31" s="551">
        <f t="shared" ca="1" si="22"/>
        <v>0.27350000000000002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2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/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>DESCRIÇÃO</v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0.27350000000000002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2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2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/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>DESCRIÇÃO</v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0.27350000000000002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2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0.27350000000000002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2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0.27350000000000002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2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0.27350000000000002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2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0.27350000000000002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2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0.27350000000000002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2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451</v>
      </c>
      <c r="Q39" s="149"/>
      <c r="R39" s="150" t="str">
        <f t="shared" ca="1" si="24"/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0.27350000000000002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2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451</v>
      </c>
      <c r="Q40" s="149"/>
      <c r="R40" s="150" t="str">
        <f ca="1">IF($C40="S",REFERENCIA.Descricao,"(FUNDAÇÕES RASAS , VIGA BALDRAME , PILARES , VIGAS)")</f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0.27350000000000002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2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453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0.27350000000000002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2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2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(Sem Código)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0.27350000000000002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2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/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>DESCRIÇÃO</v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0.27350000000000002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2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453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0.27350000000000002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2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453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0.27350000000000002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2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2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0.27350000000000002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2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0.27350000000000002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2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0.27350000000000002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2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0.27350000000000002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2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0.27350000000000002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2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2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0.27350000000000002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2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0.27350000000000002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2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2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0.27350000000000002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2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2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0.27350000000000002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2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0.27350000000000002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2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2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0.27350000000000002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2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0.27350000000000002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x14ac:dyDescent="0.2">
      <c r="A58">
        <f t="shared" si="1"/>
        <v>1</v>
      </c>
      <c r="B58">
        <f t="shared" ca="1" si="2"/>
        <v>1</v>
      </c>
      <c r="C58">
        <f t="shared" ca="1" si="3"/>
        <v>1</v>
      </c>
      <c r="D58">
        <f t="shared" ca="1" si="4"/>
        <v>20</v>
      </c>
      <c r="E58">
        <f ca="1">IF($C58=1,OFFSET(E58,-1,0)+MAX(1,COUNTIF(QCI!$A$13:$A$24,OFFSET(ORÇAMENTO!E58,-1,0))),OFFSET(E58,-1,0))</f>
        <v>3</v>
      </c>
      <c r="F58">
        <f t="shared" ca="1" si="5"/>
        <v>0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t="shared" ca="1" si="9"/>
        <v>208</v>
      </c>
      <c r="K58">
        <f ca="1">IF(OR($C58="S",$C58=0),0,MATCH(OFFSET($D58,0,$C58)+IF($C58&lt;&gt;1,1,COUNTIF(QCI!$A$13:$A$24,ORÇAMENTO!E58)),OFFSET($D58,1,$C58,ROW($C$266)-ROW($C58)),0))</f>
        <v>20</v>
      </c>
      <c r="L58" s="144" t="str">
        <f t="shared" ca="1" si="10"/>
        <v>F</v>
      </c>
      <c r="M58" s="145" t="s">
        <v>194</v>
      </c>
      <c r="N58" s="146" t="str">
        <f t="shared" ca="1" si="11"/>
        <v>Meta</v>
      </c>
      <c r="O58" s="147" t="str">
        <f t="shared" ca="1" si="12"/>
        <v>3.</v>
      </c>
      <c r="P58" s="148" t="s">
        <v>246</v>
      </c>
      <c r="Q58" s="149"/>
      <c r="R58" s="150" t="s">
        <v>458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29599.17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29599.17</v>
      </c>
      <c r="AB58" s="158">
        <f t="shared" ca="1" si="17"/>
        <v>0</v>
      </c>
      <c r="AC58" s="159" t="str">
        <f t="shared" ca="1" si="18"/>
        <v/>
      </c>
      <c r="AD58" s="105">
        <f ca="1">IF(C58&lt;=CRONO.NivelExibicao,MAX($AD$15:OFFSET(AD58,-1,0))+IF($C58&lt;&gt;1,1,MAX(1,COUNTIF(QCI!$A$13:$A$24,OFFSET($E58,-1,0)))),"")</f>
        <v>6</v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0.27350000000000002</v>
      </c>
      <c r="AJ58" s="553"/>
      <c r="AL58" s="574"/>
      <c r="AM58" s="431">
        <f t="shared" ca="1" si="0"/>
        <v>29599.17</v>
      </c>
      <c r="AN58" s="617">
        <f t="shared" ca="1" si="23"/>
        <v>0</v>
      </c>
    </row>
    <row r="59" spans="1:40" x14ac:dyDescent="0.2">
      <c r="A59" t="str">
        <f t="shared" si="1"/>
        <v>S</v>
      </c>
      <c r="B59">
        <f t="shared" ca="1" si="2"/>
        <v>2</v>
      </c>
      <c r="C59">
        <f t="shared" ca="1" si="3"/>
        <v>2</v>
      </c>
      <c r="D59">
        <f t="shared" ca="1" si="4"/>
        <v>19</v>
      </c>
      <c r="E59">
        <f ca="1">IF($C59=1,OFFSET(E59,-1,0)+MAX(1,COUNTIF(QCI!$A$13:$A$24,OFFSET(ORÇAMENTO!E59,-1,0))),OFFSET(E59,-1,0))</f>
        <v>3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0</v>
      </c>
      <c r="J59">
        <f t="shared" ca="1" si="9"/>
        <v>19</v>
      </c>
      <c r="K59" t="e">
        <f ca="1">IF(OR($C59="S",$C59=0),0,MATCH(OFFSET($D59,0,$C59)+IF($C59&lt;&gt;1,1,COUNTIF(QCI!$A$13:$A$24,ORÇAMENTO!E59)),OFFSET($D59,1,$C59,ROW($C$266)-ROW($C59)),0))</f>
        <v>#N/A</v>
      </c>
      <c r="L59" s="144" t="str">
        <f t="shared" ca="1" si="10"/>
        <v>F</v>
      </c>
      <c r="M59" s="145" t="s">
        <v>198</v>
      </c>
      <c r="N59" s="146" t="str">
        <f t="shared" ca="1" si="11"/>
        <v>Nível 2</v>
      </c>
      <c r="O59" s="147" t="str">
        <f t="shared" ca="1" si="12"/>
        <v>3.1.</v>
      </c>
      <c r="P59" s="148" t="s">
        <v>246</v>
      </c>
      <c r="Q59" s="149"/>
      <c r="R59" s="150" t="str">
        <f ca="1">IF($C59="S",REFERENCIA.Descricao,"(SERVIÇOS INICIAIS)")</f>
        <v>(SERVIÇOS INICIAIS)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29599.17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29599.17</v>
      </c>
      <c r="AB59" s="158">
        <f t="shared" ca="1" si="17"/>
        <v>0</v>
      </c>
      <c r="AC59" s="159" t="str">
        <f t="shared" ca="1" si="18"/>
        <v/>
      </c>
      <c r="AD59" s="105">
        <f ca="1">IF(C59&lt;=CRONO.NivelExibicao,MAX($AD$15:OFFSET(AD59,-1,0))+IF($C59&lt;&gt;1,1,MAX(1,COUNTIF(QCI!$A$13:$A$24,OFFSET($E59,-1,0)))),"")</f>
        <v>7</v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0.27350000000000002</v>
      </c>
      <c r="AJ59" s="553"/>
      <c r="AL59" s="574"/>
      <c r="AM59" s="431">
        <f t="shared" ca="1" si="0"/>
        <v>29599.17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3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0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0.27350000000000002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t="25.5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3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>F</v>
      </c>
      <c r="M61" s="145" t="s">
        <v>198</v>
      </c>
      <c r="N61" s="146" t="str">
        <f t="shared" ca="1" si="11"/>
        <v>Serviço</v>
      </c>
      <c r="O61" s="147" t="str">
        <f t="shared" ca="1" si="12"/>
        <v>3.1.1.</v>
      </c>
      <c r="P61" s="148" t="s">
        <v>449</v>
      </c>
      <c r="Q61" s="149" t="s">
        <v>452</v>
      </c>
      <c r="R61" s="150" t="str">
        <f ca="1">IF($C61="S",REFERENCIA.Descricao,"(digite a descrição aqui)")</f>
        <v>APLICAÇÃO DO FUNDO PREPARADOR INCLUSO PINTOR E AJUDANTE E MATERIA</v>
      </c>
      <c r="S61" s="151" t="s">
        <v>467</v>
      </c>
      <c r="T61" s="152">
        <f ca="1">OFFSET(CÁLCULO!H$15,ROW($T61)-ROW(T$15),0)</f>
        <v>738.83</v>
      </c>
      <c r="U61" s="153">
        <v>9.6999999999999993</v>
      </c>
      <c r="V61" s="154" t="s">
        <v>155</v>
      </c>
      <c r="W61" s="152">
        <f t="shared" ca="1" si="14"/>
        <v>12.35</v>
      </c>
      <c r="X61" s="155">
        <f t="shared" ca="1" si="15"/>
        <v>9124.5499999999993</v>
      </c>
      <c r="Y61" s="156" t="s">
        <v>244</v>
      </c>
      <c r="Z61" t="str">
        <f t="shared" ca="1" si="16"/>
        <v>RA</v>
      </c>
      <c r="AA61" s="157">
        <f ca="1">IF($C61="S",IF($Z61="CP",$X61,IF($Z61="RA",(($X61)*QCI!$AA$3),0)),SomaAgrup)</f>
        <v>9124.5499999999993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str">
        <f t="shared" ca="1" si="19"/>
        <v>Composição 002</v>
      </c>
      <c r="AF61" s="160">
        <f t="shared" ca="1" si="20"/>
        <v>18</v>
      </c>
      <c r="AG61" s="550">
        <f t="shared" ca="1" si="21"/>
        <v>9.6999999999999993</v>
      </c>
      <c r="AH61" s="551">
        <f t="shared" ca="1" si="22"/>
        <v>0.27350000000000002</v>
      </c>
      <c r="AJ61" s="553">
        <v>738.83</v>
      </c>
      <c r="AL61" s="574"/>
      <c r="AM61" s="431">
        <f t="shared" ca="1" si="0"/>
        <v>9124.5499999999993</v>
      </c>
      <c r="AN61" s="617">
        <f t="shared" ca="1" si="23"/>
        <v>12.35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3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>F</v>
      </c>
      <c r="M62" s="145" t="s">
        <v>198</v>
      </c>
      <c r="N62" s="146" t="str">
        <f t="shared" ca="1" si="11"/>
        <v>Serviço</v>
      </c>
      <c r="O62" s="147" t="str">
        <f t="shared" ca="1" si="12"/>
        <v>3.1.2.</v>
      </c>
      <c r="P62" s="148" t="s">
        <v>246</v>
      </c>
      <c r="Q62" s="149" t="s">
        <v>459</v>
      </c>
      <c r="R62" s="150" t="str">
        <f t="shared" ca="1" si="24"/>
        <v>APLICAÇÃO MANUAL DE PINTURA COM TINTA LÁTEX ACRÍLICA EM PAREDES, DUAS DEMÃOS. AF_06/2014</v>
      </c>
      <c r="S62" s="151" t="str">
        <f t="shared" ca="1" si="13"/>
        <v>M2</v>
      </c>
      <c r="T62" s="152">
        <f ca="1">OFFSET(CÁLCULO!H$15,ROW($T62)-ROW(T$15),0)</f>
        <v>738.83</v>
      </c>
      <c r="U62" s="153">
        <v>12.71</v>
      </c>
      <c r="V62" s="154" t="s">
        <v>155</v>
      </c>
      <c r="W62" s="152">
        <f t="shared" ca="1" si="14"/>
        <v>16.190000000000001</v>
      </c>
      <c r="X62" s="155">
        <f t="shared" ca="1" si="15"/>
        <v>11961.66</v>
      </c>
      <c r="Y62" s="156" t="s">
        <v>244</v>
      </c>
      <c r="Z62" t="str">
        <f t="shared" ca="1" si="16"/>
        <v>RA</v>
      </c>
      <c r="AA62" s="157">
        <f ca="1">IF($C62="S",IF($Z62="CP",$X62,IF($Z62="RA",(($X62)*QCI!$AA$3),0)),SomaAgrup)</f>
        <v>11961.66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str">
        <f t="shared" ca="1" si="19"/>
        <v>SINAPI 88489</v>
      </c>
      <c r="AF62" s="160">
        <f t="shared" ca="1" si="20"/>
        <v>5474</v>
      </c>
      <c r="AG62" s="550">
        <f t="shared" ca="1" si="21"/>
        <v>12.71</v>
      </c>
      <c r="AH62" s="551">
        <f t="shared" ca="1" si="22"/>
        <v>0.27350000000000002</v>
      </c>
      <c r="AJ62" s="553">
        <v>738.83</v>
      </c>
      <c r="AL62" s="574"/>
      <c r="AM62" s="431">
        <f t="shared" ca="1" si="0"/>
        <v>11961.66</v>
      </c>
      <c r="AN62" s="617">
        <f t="shared" ca="1" si="23"/>
        <v>16.190000000000001</v>
      </c>
    </row>
    <row r="63" spans="1:40" ht="25.5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3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3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>F</v>
      </c>
      <c r="M63" s="145" t="s">
        <v>198</v>
      </c>
      <c r="N63" s="146" t="str">
        <f t="shared" ca="1" si="11"/>
        <v>Serviço</v>
      </c>
      <c r="O63" s="147" t="str">
        <f t="shared" ca="1" si="12"/>
        <v>3.1.3.</v>
      </c>
      <c r="P63" s="148" t="s">
        <v>246</v>
      </c>
      <c r="Q63" s="149" t="s">
        <v>460</v>
      </c>
      <c r="R63" s="150" t="str">
        <f t="shared" ca="1" si="24"/>
        <v>TEXTURA ACRÍLICA, APLICAÇÃO MANUAL EM PAREDE, UMA DEMÃO. AF_09/2016</v>
      </c>
      <c r="S63" s="151" t="str">
        <f t="shared" ca="1" si="13"/>
        <v>M2</v>
      </c>
      <c r="T63" s="152">
        <f ca="1">OFFSET(CÁLCULO!H$15,ROW($T63)-ROW(T$15),0)</f>
        <v>285.55</v>
      </c>
      <c r="U63" s="153">
        <v>13.18</v>
      </c>
      <c r="V63" s="154" t="s">
        <v>155</v>
      </c>
      <c r="W63" s="152">
        <f t="shared" ca="1" si="14"/>
        <v>16.78</v>
      </c>
      <c r="X63" s="155">
        <f t="shared" ca="1" si="15"/>
        <v>4791.53</v>
      </c>
      <c r="Y63" s="156" t="s">
        <v>244</v>
      </c>
      <c r="Z63" t="str">
        <f t="shared" ca="1" si="16"/>
        <v>RA</v>
      </c>
      <c r="AA63" s="157">
        <f ca="1">IF($C63="S",IF($Z63="CP",$X63,IF($Z63="RA",(($X63)*QCI!$AA$3),0)),SomaAgrup)</f>
        <v>4791.53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str">
        <f t="shared" ca="1" si="19"/>
        <v>SINAPI 95305</v>
      </c>
      <c r="AF63" s="160">
        <f t="shared" ca="1" si="20"/>
        <v>5481</v>
      </c>
      <c r="AG63" s="550">
        <f t="shared" ca="1" si="21"/>
        <v>13.18</v>
      </c>
      <c r="AH63" s="551">
        <f t="shared" ca="1" si="22"/>
        <v>0.27350000000000002</v>
      </c>
      <c r="AJ63" s="553">
        <v>285.55</v>
      </c>
      <c r="AL63" s="574"/>
      <c r="AM63" s="431">
        <f t="shared" ca="1" si="0"/>
        <v>4791.53</v>
      </c>
      <c r="AN63" s="617">
        <f t="shared" ca="1" si="23"/>
        <v>16.78</v>
      </c>
    </row>
    <row r="64" spans="1:40" ht="38.25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3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4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>F</v>
      </c>
      <c r="M64" s="145" t="s">
        <v>198</v>
      </c>
      <c r="N64" s="146" t="str">
        <f t="shared" ca="1" si="11"/>
        <v>Serviço</v>
      </c>
      <c r="O64" s="147" t="str">
        <f t="shared" ca="1" si="12"/>
        <v>3.1.4.</v>
      </c>
      <c r="P64" s="148" t="s">
        <v>246</v>
      </c>
      <c r="Q64" s="149" t="s">
        <v>461</v>
      </c>
      <c r="R64" s="150" t="str">
        <f t="shared" ca="1" si="24"/>
        <v>APLICAÇÃO MANUAL DE MASSA ACRÍLICA EM PANOS DE FACHADA COM PRESENÇA DE VÃOS, DE EDIFÍCIOS DE MÚLTIPLOS PAVIMENTOS, UMA DEMÃO. AF_05/2017</v>
      </c>
      <c r="S64" s="151" t="str">
        <f t="shared" ca="1" si="13"/>
        <v>M2</v>
      </c>
      <c r="T64" s="152">
        <f ca="1">OFFSET(CÁLCULO!H$15,ROW($T64)-ROW(T$15),0)</f>
        <v>453.28</v>
      </c>
      <c r="U64" s="153">
        <v>6.45</v>
      </c>
      <c r="V64" s="154" t="s">
        <v>155</v>
      </c>
      <c r="W64" s="152">
        <f t="shared" ca="1" si="14"/>
        <v>8.2100000000000009</v>
      </c>
      <c r="X64" s="155">
        <f t="shared" ca="1" si="15"/>
        <v>3721.43</v>
      </c>
      <c r="Y64" s="156" t="s">
        <v>244</v>
      </c>
      <c r="Z64" t="str">
        <f t="shared" ca="1" si="16"/>
        <v>RA</v>
      </c>
      <c r="AA64" s="157">
        <f ca="1">IF($C64="S",IF($Z64="CP",$X64,IF($Z64="RA",(($X64)*QCI!$AA$3),0)),SomaAgrup)</f>
        <v>3721.43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str">
        <f t="shared" ca="1" si="19"/>
        <v>SINAPI 96126</v>
      </c>
      <c r="AF64" s="160">
        <f t="shared" ca="1" si="20"/>
        <v>5488</v>
      </c>
      <c r="AG64" s="550">
        <f t="shared" ca="1" si="21"/>
        <v>16.829999999999998</v>
      </c>
      <c r="AH64" s="551">
        <f t="shared" ca="1" si="22"/>
        <v>0.27350000000000002</v>
      </c>
      <c r="AJ64" s="553">
        <v>453.28</v>
      </c>
      <c r="AL64" s="574"/>
      <c r="AM64" s="431">
        <f t="shared" ca="1" si="0"/>
        <v>3721.43</v>
      </c>
      <c r="AN64" s="617">
        <f t="shared" ca="1" si="23"/>
        <v>8.2100000000000009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3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4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ca="1">IF($C65="S",REFERENCIA.Descricao,"(digite a descrição aqui)")</f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0.27350000000000002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3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4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0.27350000000000002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3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4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ca="1">IF($C67="S",REFERENCIA.Descricao,"(digite a descrição aqui)")</f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0.27350000000000002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3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4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451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0.27350000000000002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3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4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0.27350000000000002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3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4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0.27350000000000002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3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4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0.27350000000000002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3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4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0.27350000000000002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3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4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0.27350000000000002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3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4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0.27350000000000002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3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4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0.27350000000000002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3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4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0.27350000000000002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3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4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0.27350000000000002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x14ac:dyDescent="0.2">
      <c r="A78">
        <f t="shared" si="1"/>
        <v>1</v>
      </c>
      <c r="B78">
        <f t="shared" ca="1" si="2"/>
        <v>1</v>
      </c>
      <c r="C78">
        <f t="shared" ca="1" si="3"/>
        <v>1</v>
      </c>
      <c r="D78">
        <f t="shared" ca="1" si="4"/>
        <v>17</v>
      </c>
      <c r="E78">
        <f ca="1">IF($C78=1,OFFSET(E78,-1,0)+MAX(1,COUNTIF(QCI!$A$13:$A$24,OFFSET(ORÇAMENTO!E78,-1,0))),OFFSET(E78,-1,0))</f>
        <v>4</v>
      </c>
      <c r="F78">
        <f t="shared" ca="1" si="5"/>
        <v>0</v>
      </c>
      <c r="G78">
        <f t="shared" ca="1" si="6"/>
        <v>0</v>
      </c>
      <c r="H78">
        <f t="shared" ca="1" si="7"/>
        <v>0</v>
      </c>
      <c r="I78">
        <f t="shared" ca="1" si="8"/>
        <v>0</v>
      </c>
      <c r="J78">
        <f t="shared" ca="1" si="9"/>
        <v>188</v>
      </c>
      <c r="K78">
        <f ca="1">IF(OR($C78="S",$C78=0),0,MATCH(OFFSET($D78,0,$C78)+IF($C78&lt;&gt;1,1,COUNTIF(QCI!$A$13:$A$24,ORÇAMENTO!E78)),OFFSET($D78,1,$C78,ROW($C$266)-ROW($C78)),0))</f>
        <v>17</v>
      </c>
      <c r="L78" s="144" t="str">
        <f t="shared" ca="1" si="10"/>
        <v>F</v>
      </c>
      <c r="M78" s="145" t="s">
        <v>194</v>
      </c>
      <c r="N78" s="146" t="str">
        <f t="shared" ca="1" si="11"/>
        <v>Meta</v>
      </c>
      <c r="O78" s="147" t="str">
        <f t="shared" ca="1" si="12"/>
        <v>4.</v>
      </c>
      <c r="P78" s="148" t="s">
        <v>246</v>
      </c>
      <c r="Q78" s="149"/>
      <c r="R78" s="150" t="s">
        <v>457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1729.41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1729.4099999999999</v>
      </c>
      <c r="AB78" s="158">
        <f t="shared" ca="1" si="17"/>
        <v>0</v>
      </c>
      <c r="AC78" s="159" t="str">
        <f t="shared" ca="1" si="18"/>
        <v/>
      </c>
      <c r="AD78" s="105">
        <f ca="1">IF(C78&lt;=CRONO.NivelExibicao,MAX($AD$15:OFFSET(AD78,-1,0))+IF($C78&lt;&gt;1,1,MAX(1,COUNTIF(QCI!$A$13:$A$24,OFFSET($E78,-1,0)))),"")</f>
        <v>8</v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0.27350000000000002</v>
      </c>
      <c r="AJ78" s="553"/>
      <c r="AL78" s="574"/>
      <c r="AM78" s="431">
        <f ca="1">$X78</f>
        <v>1729.41</v>
      </c>
      <c r="AN78" s="617">
        <f t="shared" ca="1" si="23"/>
        <v>0</v>
      </c>
    </row>
    <row r="79" spans="1:40" x14ac:dyDescent="0.2">
      <c r="A79" t="str">
        <f t="shared" si="1"/>
        <v>S</v>
      </c>
      <c r="B79">
        <f t="shared" ca="1" si="2"/>
        <v>2</v>
      </c>
      <c r="C79">
        <f t="shared" ca="1" si="3"/>
        <v>2</v>
      </c>
      <c r="D79">
        <f t="shared" ca="1" si="4"/>
        <v>16</v>
      </c>
      <c r="E79">
        <f ca="1">IF($C79=1,OFFSET(E79,-1,0)+MAX(1,COUNTIF(QCI!$A$13:$A$24,OFFSET(ORÇAMENTO!E79,-1,0))),OFFSET(E79,-1,0))</f>
        <v>4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0</v>
      </c>
      <c r="J79">
        <f t="shared" ca="1" si="9"/>
        <v>16</v>
      </c>
      <c r="K79" t="e">
        <f ca="1">IF(OR($C79="S",$C79=0),0,MATCH(OFFSET($D79,0,$C79)+IF($C79&lt;&gt;1,1,COUNTIF(QCI!$A$13:$A$24,ORÇAMENTO!E79)),OFFSET($D79,1,$C79,ROW($C$266)-ROW($C79)),0))</f>
        <v>#N/A</v>
      </c>
      <c r="L79" s="144" t="str">
        <f t="shared" ca="1" si="10"/>
        <v>F</v>
      </c>
      <c r="M79" s="145" t="s">
        <v>198</v>
      </c>
      <c r="N79" s="146" t="str">
        <f t="shared" ca="1" si="11"/>
        <v>Nível 2</v>
      </c>
      <c r="O79" s="147" t="str">
        <f t="shared" ca="1" si="12"/>
        <v>4.1.</v>
      </c>
      <c r="P79" s="148" t="s">
        <v>246</v>
      </c>
      <c r="Q79" s="149"/>
      <c r="R79" s="150" t="str">
        <f ca="1">IF($C79="S",REFERENCIA.Descricao,"(SERVIÇOS INICIAIS)")</f>
        <v>(SERVIÇOS INICIAIS)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1729.41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1729.4099999999999</v>
      </c>
      <c r="AB79" s="158">
        <f t="shared" ca="1" si="17"/>
        <v>0</v>
      </c>
      <c r="AC79" s="159" t="str">
        <f t="shared" ca="1" si="18"/>
        <v/>
      </c>
      <c r="AD79" s="105">
        <f ca="1">IF(C79&lt;=CRONO.NivelExibicao,MAX($AD$15:OFFSET(AD79,-1,0))+IF($C79&lt;&gt;1,1,MAX(1,COUNTIF(QCI!$A$13:$A$24,OFFSET($E79,-1,0)))),"")</f>
        <v>9</v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0.27350000000000002</v>
      </c>
      <c r="AJ79" s="553"/>
      <c r="AL79" s="574"/>
      <c r="AM79" s="431">
        <f t="shared" ca="1" si="0"/>
        <v>1729.41</v>
      </c>
      <c r="AN79" s="617">
        <f t="shared" ca="1" si="23"/>
        <v>0</v>
      </c>
    </row>
    <row r="80" spans="1:40" ht="38.2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4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4.1.1.</v>
      </c>
      <c r="P80" s="148" t="s">
        <v>246</v>
      </c>
      <c r="Q80" s="149" t="s">
        <v>456</v>
      </c>
      <c r="R80" s="150" t="str">
        <f ca="1">IF($C80="S",REFERENCIA.Descricao,"(digite a descrição aqui)")</f>
        <v>PORTA DE MADEIRA PARA PINTURA, SEMI-OCA (PESADA OU SUPERPESADA), 80X210CM, ESPESSURA DE 3,5CM, INCLUSO DOBRADIÇAS - FORNECIMENTO E INSTALAÇÃO. AF_12/2019</v>
      </c>
      <c r="S80" s="151" t="str">
        <f t="shared" ref="S80:S143" ca="1" si="37">REFERENCIA.Unidade</f>
        <v>UN</v>
      </c>
      <c r="T80" s="152">
        <f ca="1">OFFSET(CÁLCULO!H$15,ROW($T80)-ROW(T$15),0)</f>
        <v>2</v>
      </c>
      <c r="U80" s="153">
        <v>280</v>
      </c>
      <c r="V80" s="154" t="s">
        <v>155</v>
      </c>
      <c r="W80" s="152">
        <f t="shared" ref="W80:W143" ca="1" si="38">IF($C80="S",ROUND(IF(TIPOORCAMENTO="Proposto",ORÇAMENTO.CustoUnitario*(1+$AH80),ORÇAMENTO.PrecoUnitarioLicitado),15-13*$AF$10),0)</f>
        <v>356.58</v>
      </c>
      <c r="X80" s="155">
        <f t="shared" ref="X80:X143" ca="1" si="39">IF($C80="S",VTOTAL1,IF($C80=0,0,ROUND(SomaAgrup,15-13*$AF$11)))</f>
        <v>713.16</v>
      </c>
      <c r="Y80" s="156" t="s">
        <v>244</v>
      </c>
      <c r="Z80" t="str">
        <f t="shared" ref="Z80:Z143" ca="1" si="40">IF(AND($C80="S",$X80&gt;0),IF(ISBLANK($Y80),"RA",LEFT($Y80,2)),"")</f>
        <v>RA</v>
      </c>
      <c r="AA80" s="157">
        <f ca="1">IF($C80="S",IF($Z80="CP",$X80,IF($Z80="RA",(($X80)*QCI!$AA$3),0)),SomaAgrup)</f>
        <v>713.16</v>
      </c>
      <c r="AB80" s="158">
        <f t="shared" ref="AB80:AB143" ca="1" si="41">IF($C80="S",IF($Z80="OU",ROUND($X80,2),0),SomaAgrup)</f>
        <v>0</v>
      </c>
      <c r="AC80" s="159" t="str">
        <f t="shared" ref="AC80:AC143" ca="1" si="42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3">IF(AND($C80="S",ORÇAMENTO.CodBarra&lt;&gt;""),IF(ORÇAMENTO.Fonte="",ORÇAMENTO.CodBarra,CONCATENATE(ORÇAMENTO.Fonte," ",ORÇAMENTO.CodBarra)))</f>
        <v>SINAPI 90824</v>
      </c>
      <c r="AF80" s="160">
        <f t="shared" ref="AF80:AF143" ca="1" si="44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1676</v>
      </c>
      <c r="AG80" s="550">
        <f t="shared" ref="AG80:AG143" ca="1" si="45">ROUND(IF(DESONERACAO="sim",REFERENCIA.Desonerado,REFERENCIA.NaoDesonerado),2)</f>
        <v>441.64</v>
      </c>
      <c r="AH80" s="551">
        <f t="shared" ref="AH80:AH143" ca="1" si="46">ROUND(IF(ISNUMBER(ORÇAMENTO.OpcaoBDI),ORÇAMENTO.OpcaoBDI,IF(LEFT(ORÇAMENTO.OpcaoBDI,3)="BDI",HLOOKUP(ORÇAMENTO.OpcaoBDI,$F$4:$H$5,2,FALSE),0)),15-11*$AF$9)</f>
        <v>0.27350000000000002</v>
      </c>
      <c r="AJ80" s="553">
        <v>2</v>
      </c>
      <c r="AL80" s="574"/>
      <c r="AM80" s="431">
        <f t="shared" ref="AM80:AM143" ca="1" si="47">$X80</f>
        <v>713.16</v>
      </c>
      <c r="AN80" s="617">
        <f t="shared" ref="AN80:AN143" ca="1" si="48">ROUND(ORÇAMENTO.CustoUnitario*(1+$AH80),2)</f>
        <v>356.58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4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451</v>
      </c>
      <c r="Q81" s="149"/>
      <c r="R81" s="150" t="str">
        <f t="shared" ref="R81:R143" ca="1" si="49">IF($C81="S",REFERENCIA.Descricao,"(digite a descrição aqui)")</f>
        <v>(Sem Código)</v>
      </c>
      <c r="S81" s="151" t="str">
        <f t="shared" ca="1" si="37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8"/>
        <v>0</v>
      </c>
      <c r="X81" s="155">
        <f t="shared" ca="1" si="39"/>
        <v>0</v>
      </c>
      <c r="Y81" s="156" t="s">
        <v>244</v>
      </c>
      <c r="Z81" t="str">
        <f t="shared" ca="1" si="40"/>
        <v/>
      </c>
      <c r="AA81" s="157">
        <f ca="1">IF($C81="S",IF($Z81="CP",$X81,IF($Z81="RA",(($X81)*QCI!$AA$3),0)),SomaAgrup)</f>
        <v>0</v>
      </c>
      <c r="AB81" s="158">
        <f t="shared" ca="1" si="41"/>
        <v>0</v>
      </c>
      <c r="AC81" s="159" t="str">
        <f t="shared" ca="1" si="42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3"/>
        <v>0</v>
      </c>
      <c r="AF81" s="160" t="str">
        <f t="shared" ca="1" si="44"/>
        <v>(Sem Código)</v>
      </c>
      <c r="AG81" s="550">
        <f t="shared" ca="1" si="45"/>
        <v>0</v>
      </c>
      <c r="AH81" s="551">
        <f t="shared" ca="1" si="46"/>
        <v>0.27350000000000002</v>
      </c>
      <c r="AJ81" s="553"/>
      <c r="AL81" s="574"/>
      <c r="AM81" s="431">
        <f t="shared" ca="1" si="47"/>
        <v>0</v>
      </c>
      <c r="AN81" s="617">
        <f t="shared" ca="1" si="48"/>
        <v>0</v>
      </c>
    </row>
    <row r="82" spans="1:40" ht="38.2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4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4.1.2.</v>
      </c>
      <c r="P82" s="148" t="s">
        <v>246</v>
      </c>
      <c r="Q82" s="149" t="s">
        <v>465</v>
      </c>
      <c r="R82" s="150" t="str">
        <f t="shared" ca="1" si="49"/>
        <v>PORTA EM ALUMÍNIO DE ABRIR TIPO VENEZIANA COM GUARNIÇÃO, FIXAÇÃO COM PARAFUSOS - FORNECIMENTO E INSTALAÇÃO. AF_12/2019</v>
      </c>
      <c r="S82" s="151" t="str">
        <f t="shared" ca="1" si="37"/>
        <v>M2</v>
      </c>
      <c r="T82" s="152">
        <f ca="1">OFFSET(CÁLCULO!H$15,ROW($T82)-ROW(T$15),0)</f>
        <v>1.68</v>
      </c>
      <c r="U82" s="153">
        <v>475</v>
      </c>
      <c r="V82" s="154" t="s">
        <v>155</v>
      </c>
      <c r="W82" s="152">
        <f t="shared" ca="1" si="38"/>
        <v>604.91</v>
      </c>
      <c r="X82" s="155">
        <f t="shared" ca="1" si="39"/>
        <v>1016.25</v>
      </c>
      <c r="Y82" s="156" t="s">
        <v>244</v>
      </c>
      <c r="Z82" t="str">
        <f t="shared" ca="1" si="40"/>
        <v>RA</v>
      </c>
      <c r="AA82" s="157">
        <f ca="1">IF($C82="S",IF($Z82="CP",$X82,IF($Z82="RA",(($X82)*QCI!$AA$3),0)),SomaAgrup)</f>
        <v>1016.25</v>
      </c>
      <c r="AB82" s="158">
        <f t="shared" ca="1" si="41"/>
        <v>0</v>
      </c>
      <c r="AC82" s="159" t="str">
        <f t="shared" ca="1" si="42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3"/>
        <v>SINAPI 91341</v>
      </c>
      <c r="AF82" s="160">
        <f t="shared" ca="1" si="44"/>
        <v>1787</v>
      </c>
      <c r="AG82" s="550">
        <f t="shared" ca="1" si="45"/>
        <v>475.23</v>
      </c>
      <c r="AH82" s="551">
        <f t="shared" ca="1" si="46"/>
        <v>0.27350000000000002</v>
      </c>
      <c r="AJ82" s="553">
        <v>1.68</v>
      </c>
      <c r="AL82" s="574"/>
      <c r="AM82" s="431">
        <f t="shared" ca="1" si="47"/>
        <v>1016.25</v>
      </c>
      <c r="AN82" s="617">
        <f t="shared" ca="1" si="48"/>
        <v>604.91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4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49"/>
        <v>(Sem Código)</v>
      </c>
      <c r="S83" s="151" t="str">
        <f t="shared" ca="1" si="37"/>
        <v>-</v>
      </c>
      <c r="T83" s="152">
        <f ca="1">OFFSET(CÁLCULO!H$15,ROW($T83)-ROW(T$15),0)</f>
        <v>0</v>
      </c>
      <c r="U83" s="153">
        <v>72.14</v>
      </c>
      <c r="V83" s="154" t="s">
        <v>155</v>
      </c>
      <c r="W83" s="152">
        <f t="shared" ca="1" si="38"/>
        <v>91.87</v>
      </c>
      <c r="X83" s="155">
        <f t="shared" ca="1" si="39"/>
        <v>0</v>
      </c>
      <c r="Y83" s="156" t="s">
        <v>244</v>
      </c>
      <c r="Z83" t="str">
        <f t="shared" ca="1" si="40"/>
        <v/>
      </c>
      <c r="AA83" s="157">
        <f ca="1">IF($C83="S",IF($Z83="CP",$X83,IF($Z83="RA",(($X83)*QCI!$AA$3),0)),SomaAgrup)</f>
        <v>0</v>
      </c>
      <c r="AB83" s="158">
        <f t="shared" ca="1" si="41"/>
        <v>0</v>
      </c>
      <c r="AC83" s="159" t="str">
        <f t="shared" ca="1" si="42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3"/>
        <v>0</v>
      </c>
      <c r="AF83" s="160" t="str">
        <f t="shared" ca="1" si="44"/>
        <v>(Sem Código)</v>
      </c>
      <c r="AG83" s="550">
        <f t="shared" ca="1" si="45"/>
        <v>0</v>
      </c>
      <c r="AH83" s="551">
        <f t="shared" ca="1" si="46"/>
        <v>0.27350000000000002</v>
      </c>
      <c r="AJ83" s="553"/>
      <c r="AL83" s="574"/>
      <c r="AM83" s="431">
        <f t="shared" ca="1" si="47"/>
        <v>0</v>
      </c>
      <c r="AN83" s="617">
        <f t="shared" ca="1" si="48"/>
        <v>91.87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4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2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49"/>
        <v>(Sem Código)</v>
      </c>
      <c r="S84" s="151" t="str">
        <f t="shared" ca="1" si="37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8"/>
        <v>0</v>
      </c>
      <c r="X84" s="155">
        <f t="shared" ca="1" si="39"/>
        <v>0</v>
      </c>
      <c r="Y84" s="156" t="s">
        <v>244</v>
      </c>
      <c r="Z84" t="str">
        <f t="shared" ca="1" si="40"/>
        <v/>
      </c>
      <c r="AA84" s="157">
        <f ca="1">IF($C84="S",IF($Z84="CP",$X84,IF($Z84="RA",(($X84)*QCI!$AA$3),0)),SomaAgrup)</f>
        <v>0</v>
      </c>
      <c r="AB84" s="158">
        <f t="shared" ca="1" si="41"/>
        <v>0</v>
      </c>
      <c r="AC84" s="159" t="str">
        <f t="shared" ca="1" si="42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3"/>
        <v>0</v>
      </c>
      <c r="AF84" s="160" t="str">
        <f t="shared" ca="1" si="44"/>
        <v>(Sem Código)</v>
      </c>
      <c r="AG84" s="550">
        <f t="shared" ca="1" si="45"/>
        <v>0</v>
      </c>
      <c r="AH84" s="551">
        <f t="shared" ca="1" si="46"/>
        <v>0.27350000000000002</v>
      </c>
      <c r="AJ84" s="553"/>
      <c r="AL84" s="574"/>
      <c r="AM84" s="431">
        <f t="shared" ca="1" si="47"/>
        <v>0</v>
      </c>
      <c r="AN84" s="617">
        <f t="shared" ca="1" si="48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4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2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49"/>
        <v>(Sem Código)</v>
      </c>
      <c r="S85" s="151" t="str">
        <f t="shared" ca="1" si="37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8"/>
        <v>0</v>
      </c>
      <c r="X85" s="155">
        <f t="shared" ca="1" si="39"/>
        <v>0</v>
      </c>
      <c r="Y85" s="156" t="s">
        <v>244</v>
      </c>
      <c r="Z85" t="str">
        <f t="shared" ca="1" si="40"/>
        <v/>
      </c>
      <c r="AA85" s="157">
        <f ca="1">IF($C85="S",IF($Z85="CP",$X85,IF($Z85="RA",(($X85)*QCI!$AA$3),0)),SomaAgrup)</f>
        <v>0</v>
      </c>
      <c r="AB85" s="158">
        <f t="shared" ca="1" si="41"/>
        <v>0</v>
      </c>
      <c r="AC85" s="159" t="str">
        <f t="shared" ca="1" si="42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3"/>
        <v>0</v>
      </c>
      <c r="AF85" s="160" t="str">
        <f t="shared" ca="1" si="44"/>
        <v>(Sem Código)</v>
      </c>
      <c r="AG85" s="550">
        <f t="shared" ca="1" si="45"/>
        <v>0</v>
      </c>
      <c r="AH85" s="551">
        <f t="shared" ca="1" si="46"/>
        <v>0.27350000000000002</v>
      </c>
      <c r="AJ85" s="553"/>
      <c r="AL85" s="574"/>
      <c r="AM85" s="431">
        <f t="shared" ca="1" si="47"/>
        <v>0</v>
      </c>
      <c r="AN85" s="617">
        <f t="shared" ca="1" si="48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4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2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49"/>
        <v>(Sem Código)</v>
      </c>
      <c r="S86" s="151" t="str">
        <f t="shared" ca="1" si="37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8"/>
        <v>0</v>
      </c>
      <c r="X86" s="155">
        <f t="shared" ca="1" si="39"/>
        <v>0</v>
      </c>
      <c r="Y86" s="156" t="s">
        <v>244</v>
      </c>
      <c r="Z86" t="str">
        <f t="shared" ca="1" si="40"/>
        <v/>
      </c>
      <c r="AA86" s="157">
        <f ca="1">IF($C86="S",IF($Z86="CP",$X86,IF($Z86="RA",(($X86)*QCI!$AA$3),0)),SomaAgrup)</f>
        <v>0</v>
      </c>
      <c r="AB86" s="158">
        <f t="shared" ca="1" si="41"/>
        <v>0</v>
      </c>
      <c r="AC86" s="159" t="str">
        <f t="shared" ca="1" si="42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3"/>
        <v>0</v>
      </c>
      <c r="AF86" s="160" t="str">
        <f t="shared" ca="1" si="44"/>
        <v>(Sem Código)</v>
      </c>
      <c r="AG86" s="550">
        <f t="shared" ca="1" si="45"/>
        <v>0</v>
      </c>
      <c r="AH86" s="551">
        <f t="shared" ca="1" si="46"/>
        <v>0.27350000000000002</v>
      </c>
      <c r="AJ86" s="553"/>
      <c r="AL86" s="574"/>
      <c r="AM86" s="431">
        <f t="shared" ca="1" si="47"/>
        <v>0</v>
      </c>
      <c r="AN86" s="617">
        <f t="shared" ca="1" si="48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4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49"/>
        <v>(Sem Código)</v>
      </c>
      <c r="S87" s="151" t="str">
        <f t="shared" ca="1" si="37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8"/>
        <v>0</v>
      </c>
      <c r="X87" s="155">
        <f t="shared" ca="1" si="39"/>
        <v>0</v>
      </c>
      <c r="Y87" s="156" t="s">
        <v>244</v>
      </c>
      <c r="Z87" t="str">
        <f t="shared" ca="1" si="40"/>
        <v/>
      </c>
      <c r="AA87" s="157">
        <f ca="1">IF($C87="S",IF($Z87="CP",$X87,IF($Z87="RA",(($X87)*QCI!$AA$3),0)),SomaAgrup)</f>
        <v>0</v>
      </c>
      <c r="AB87" s="158">
        <f t="shared" ca="1" si="41"/>
        <v>0</v>
      </c>
      <c r="AC87" s="159" t="str">
        <f t="shared" ca="1" si="42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3"/>
        <v>0</v>
      </c>
      <c r="AF87" s="160" t="str">
        <f t="shared" ca="1" si="44"/>
        <v>(Sem Código)</v>
      </c>
      <c r="AG87" s="550">
        <f t="shared" ca="1" si="45"/>
        <v>0</v>
      </c>
      <c r="AH87" s="551">
        <f t="shared" ca="1" si="46"/>
        <v>0.27350000000000002</v>
      </c>
      <c r="AJ87" s="553"/>
      <c r="AL87" s="574"/>
      <c r="AM87" s="431">
        <f t="shared" ca="1" si="47"/>
        <v>0</v>
      </c>
      <c r="AN87" s="617">
        <f t="shared" ca="1" si="48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4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2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49"/>
        <v>(Sem Código)</v>
      </c>
      <c r="S88" s="151" t="str">
        <f t="shared" ca="1" si="37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8"/>
        <v>0</v>
      </c>
      <c r="X88" s="155">
        <f t="shared" ca="1" si="39"/>
        <v>0</v>
      </c>
      <c r="Y88" s="156" t="s">
        <v>244</v>
      </c>
      <c r="Z88" t="str">
        <f t="shared" ca="1" si="40"/>
        <v/>
      </c>
      <c r="AA88" s="157">
        <f ca="1">IF($C88="S",IF($Z88="CP",$X88,IF($Z88="RA",(($X88)*QCI!$AA$3),0)),SomaAgrup)</f>
        <v>0</v>
      </c>
      <c r="AB88" s="158">
        <f t="shared" ca="1" si="41"/>
        <v>0</v>
      </c>
      <c r="AC88" s="159" t="str">
        <f t="shared" ca="1" si="42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3"/>
        <v>0</v>
      </c>
      <c r="AF88" s="160" t="str">
        <f t="shared" ca="1" si="44"/>
        <v>(Sem Código)</v>
      </c>
      <c r="AG88" s="550">
        <f t="shared" ca="1" si="45"/>
        <v>0</v>
      </c>
      <c r="AH88" s="551">
        <f t="shared" ca="1" si="46"/>
        <v>0.27350000000000002</v>
      </c>
      <c r="AJ88" s="553"/>
      <c r="AL88" s="574"/>
      <c r="AM88" s="431">
        <f t="shared" ca="1" si="47"/>
        <v>0</v>
      </c>
      <c r="AN88" s="617">
        <f t="shared" ca="1" si="48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4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2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49"/>
        <v>(Sem Código)</v>
      </c>
      <c r="S89" s="151" t="str">
        <f t="shared" ca="1" si="37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8"/>
        <v>0</v>
      </c>
      <c r="X89" s="155">
        <f t="shared" ca="1" si="39"/>
        <v>0</v>
      </c>
      <c r="Y89" s="156" t="s">
        <v>244</v>
      </c>
      <c r="Z89" t="str">
        <f t="shared" ca="1" si="40"/>
        <v/>
      </c>
      <c r="AA89" s="157">
        <f ca="1">IF($C89="S",IF($Z89="CP",$X89,IF($Z89="RA",(($X89)*QCI!$AA$3),0)),SomaAgrup)</f>
        <v>0</v>
      </c>
      <c r="AB89" s="158">
        <f t="shared" ca="1" si="41"/>
        <v>0</v>
      </c>
      <c r="AC89" s="159" t="str">
        <f t="shared" ca="1" si="42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3"/>
        <v>0</v>
      </c>
      <c r="AF89" s="160" t="str">
        <f t="shared" ca="1" si="44"/>
        <v>(Sem Código)</v>
      </c>
      <c r="AG89" s="550">
        <f t="shared" ca="1" si="45"/>
        <v>0</v>
      </c>
      <c r="AH89" s="551">
        <f t="shared" ca="1" si="46"/>
        <v>0.27350000000000002</v>
      </c>
      <c r="AJ89" s="553"/>
      <c r="AL89" s="574"/>
      <c r="AM89" s="431">
        <f t="shared" ca="1" si="47"/>
        <v>0</v>
      </c>
      <c r="AN89" s="617">
        <f t="shared" ca="1" si="48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4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2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49"/>
        <v>(Sem Código)</v>
      </c>
      <c r="S90" s="151" t="str">
        <f t="shared" ca="1" si="37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8"/>
        <v>0</v>
      </c>
      <c r="X90" s="155">
        <f t="shared" ca="1" si="39"/>
        <v>0</v>
      </c>
      <c r="Y90" s="156" t="s">
        <v>244</v>
      </c>
      <c r="Z90" t="str">
        <f t="shared" ca="1" si="40"/>
        <v/>
      </c>
      <c r="AA90" s="157">
        <f ca="1">IF($C90="S",IF($Z90="CP",$X90,IF($Z90="RA",(($X90)*QCI!$AA$3),0)),SomaAgrup)</f>
        <v>0</v>
      </c>
      <c r="AB90" s="158">
        <f t="shared" ca="1" si="41"/>
        <v>0</v>
      </c>
      <c r="AC90" s="159" t="str">
        <f t="shared" ca="1" si="42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3"/>
        <v>0</v>
      </c>
      <c r="AF90" s="160" t="str">
        <f t="shared" ca="1" si="44"/>
        <v>(Sem Código)</v>
      </c>
      <c r="AG90" s="550">
        <f t="shared" ca="1" si="45"/>
        <v>0</v>
      </c>
      <c r="AH90" s="551">
        <f t="shared" ca="1" si="46"/>
        <v>0.27350000000000002</v>
      </c>
      <c r="AJ90" s="553"/>
      <c r="AL90" s="574"/>
      <c r="AM90" s="431">
        <f t="shared" ca="1" si="47"/>
        <v>0</v>
      </c>
      <c r="AN90" s="617">
        <f t="shared" ca="1" si="48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4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2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49"/>
        <v>(Sem Código)</v>
      </c>
      <c r="S91" s="151" t="str">
        <f t="shared" ca="1" si="37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8"/>
        <v>0</v>
      </c>
      <c r="X91" s="155">
        <f t="shared" ca="1" si="39"/>
        <v>0</v>
      </c>
      <c r="Y91" s="156" t="s">
        <v>244</v>
      </c>
      <c r="Z91" t="str">
        <f t="shared" ca="1" si="40"/>
        <v/>
      </c>
      <c r="AA91" s="157">
        <f ca="1">IF($C91="S",IF($Z91="CP",$X91,IF($Z91="RA",(($X91)*QCI!$AA$3),0)),SomaAgrup)</f>
        <v>0</v>
      </c>
      <c r="AB91" s="158">
        <f t="shared" ca="1" si="41"/>
        <v>0</v>
      </c>
      <c r="AC91" s="159" t="str">
        <f t="shared" ca="1" si="42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3"/>
        <v>0</v>
      </c>
      <c r="AF91" s="160" t="str">
        <f t="shared" ca="1" si="44"/>
        <v>(Sem Código)</v>
      </c>
      <c r="AG91" s="550">
        <f t="shared" ca="1" si="45"/>
        <v>0</v>
      </c>
      <c r="AH91" s="551">
        <f t="shared" ca="1" si="46"/>
        <v>0.27350000000000002</v>
      </c>
      <c r="AJ91" s="553"/>
      <c r="AL91" s="574"/>
      <c r="AM91" s="431">
        <f t="shared" ca="1" si="47"/>
        <v>0</v>
      </c>
      <c r="AN91" s="617">
        <f t="shared" ca="1" si="48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4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2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49"/>
        <v>(Sem Código)</v>
      </c>
      <c r="S92" s="151" t="str">
        <f t="shared" ca="1" si="37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8"/>
        <v>0</v>
      </c>
      <c r="X92" s="155">
        <f t="shared" ca="1" si="39"/>
        <v>0</v>
      </c>
      <c r="Y92" s="156" t="s">
        <v>244</v>
      </c>
      <c r="Z92" t="str">
        <f t="shared" ca="1" si="40"/>
        <v/>
      </c>
      <c r="AA92" s="157">
        <f ca="1">IF($C92="S",IF($Z92="CP",$X92,IF($Z92="RA",(($X92)*QCI!$AA$3),0)),SomaAgrup)</f>
        <v>0</v>
      </c>
      <c r="AB92" s="158">
        <f t="shared" ca="1" si="41"/>
        <v>0</v>
      </c>
      <c r="AC92" s="159" t="str">
        <f t="shared" ca="1" si="42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3"/>
        <v>0</v>
      </c>
      <c r="AF92" s="160" t="str">
        <f t="shared" ca="1" si="44"/>
        <v>(Sem Código)</v>
      </c>
      <c r="AG92" s="550">
        <f t="shared" ca="1" si="45"/>
        <v>0</v>
      </c>
      <c r="AH92" s="551">
        <f t="shared" ca="1" si="46"/>
        <v>0.27350000000000002</v>
      </c>
      <c r="AJ92" s="553"/>
      <c r="AL92" s="574"/>
      <c r="AM92" s="431">
        <f t="shared" ca="1" si="47"/>
        <v>0</v>
      </c>
      <c r="AN92" s="617">
        <f t="shared" ca="1" si="48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4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2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49"/>
        <v>(Sem Código)</v>
      </c>
      <c r="S93" s="151" t="str">
        <f t="shared" ca="1" si="37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8"/>
        <v>0</v>
      </c>
      <c r="X93" s="155">
        <f t="shared" ca="1" si="39"/>
        <v>0</v>
      </c>
      <c r="Y93" s="156" t="s">
        <v>244</v>
      </c>
      <c r="Z93" t="str">
        <f t="shared" ca="1" si="40"/>
        <v/>
      </c>
      <c r="AA93" s="157">
        <f ca="1">IF($C93="S",IF($Z93="CP",$X93,IF($Z93="RA",(($X93)*QCI!$AA$3),0)),SomaAgrup)</f>
        <v>0</v>
      </c>
      <c r="AB93" s="158">
        <f t="shared" ca="1" si="41"/>
        <v>0</v>
      </c>
      <c r="AC93" s="159" t="str">
        <f t="shared" ca="1" si="42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3"/>
        <v>0</v>
      </c>
      <c r="AF93" s="160" t="str">
        <f t="shared" ca="1" si="44"/>
        <v>(Sem Código)</v>
      </c>
      <c r="AG93" s="550">
        <f t="shared" ca="1" si="45"/>
        <v>0</v>
      </c>
      <c r="AH93" s="551">
        <f t="shared" ca="1" si="46"/>
        <v>0.27350000000000002</v>
      </c>
      <c r="AJ93" s="553"/>
      <c r="AL93" s="574"/>
      <c r="AM93" s="431">
        <f t="shared" ca="1" si="47"/>
        <v>0</v>
      </c>
      <c r="AN93" s="617">
        <f t="shared" ca="1" si="48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4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2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49"/>
        <v>(Sem Código)</v>
      </c>
      <c r="S94" s="151" t="str">
        <f t="shared" ca="1" si="37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8"/>
        <v>0</v>
      </c>
      <c r="X94" s="155">
        <f t="shared" ca="1" si="39"/>
        <v>0</v>
      </c>
      <c r="Y94" s="156" t="s">
        <v>244</v>
      </c>
      <c r="Z94" t="str">
        <f t="shared" ca="1" si="40"/>
        <v/>
      </c>
      <c r="AA94" s="157">
        <f ca="1">IF($C94="S",IF($Z94="CP",$X94,IF($Z94="RA",(($X94)*QCI!$AA$3),0)),SomaAgrup)</f>
        <v>0</v>
      </c>
      <c r="AB94" s="158">
        <f t="shared" ca="1" si="41"/>
        <v>0</v>
      </c>
      <c r="AC94" s="159" t="str">
        <f t="shared" ca="1" si="42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3"/>
        <v>0</v>
      </c>
      <c r="AF94" s="160" t="str">
        <f t="shared" ca="1" si="44"/>
        <v>(Sem Código)</v>
      </c>
      <c r="AG94" s="550">
        <f t="shared" ca="1" si="45"/>
        <v>0</v>
      </c>
      <c r="AH94" s="551">
        <f t="shared" ca="1" si="46"/>
        <v>0.27350000000000002</v>
      </c>
      <c r="AJ94" s="553"/>
      <c r="AL94" s="574"/>
      <c r="AM94" s="431">
        <f t="shared" ca="1" si="47"/>
        <v>0</v>
      </c>
      <c r="AN94" s="617">
        <f t="shared" ca="1" si="48"/>
        <v>0</v>
      </c>
    </row>
    <row r="95" spans="1:40" x14ac:dyDescent="0.2">
      <c r="A95">
        <f t="shared" si="25"/>
        <v>1</v>
      </c>
      <c r="B95">
        <f t="shared" ca="1" si="26"/>
        <v>1</v>
      </c>
      <c r="C95">
        <f t="shared" ca="1" si="27"/>
        <v>1</v>
      </c>
      <c r="D95">
        <f t="shared" ca="1" si="28"/>
        <v>171</v>
      </c>
      <c r="E95">
        <f ca="1">IF($C95=1,OFFSET(E95,-1,0)+MAX(1,COUNTIF(QCI!$A$13:$A$24,OFFSET(ORÇAMENTO!E95,-1,0))),OFFSET(E95,-1,0))</f>
        <v>5</v>
      </c>
      <c r="F95">
        <f t="shared" ca="1" si="29"/>
        <v>0</v>
      </c>
      <c r="G95">
        <f t="shared" ca="1" si="30"/>
        <v>0</v>
      </c>
      <c r="H95">
        <f t="shared" ca="1" si="31"/>
        <v>0</v>
      </c>
      <c r="I95">
        <f t="shared" ca="1" si="32"/>
        <v>0</v>
      </c>
      <c r="J95">
        <f t="shared" ca="1" si="33"/>
        <v>171</v>
      </c>
      <c r="K95" t="e">
        <f ca="1">IF(OR($C95="S",$C95=0),0,MATCH(OFFSET($D95,0,$C95)+IF($C95&lt;&gt;1,1,COUNTIF(QCI!$A$13:$A$24,ORÇAMENTO!E95)),OFFSET($D95,1,$C95,ROW($C$266)-ROW($C95)),0))</f>
        <v>#N/A</v>
      </c>
      <c r="L95" s="144" t="str">
        <f t="shared" ca="1" si="34"/>
        <v>F</v>
      </c>
      <c r="M95" s="145" t="s">
        <v>194</v>
      </c>
      <c r="N95" s="146" t="str">
        <f t="shared" ca="1" si="35"/>
        <v>Meta</v>
      </c>
      <c r="O95" s="147" t="str">
        <f t="shared" ca="1" si="36"/>
        <v>5.</v>
      </c>
      <c r="P95" s="148" t="s">
        <v>246</v>
      </c>
      <c r="Q95" s="149"/>
      <c r="R95" s="150" t="str">
        <f ca="1">IF($C95="S",REFERENCIA.Descricao,"(COBERTURA)")</f>
        <v>(COBERTURA)</v>
      </c>
      <c r="S95" s="151" t="str">
        <f t="shared" ca="1" si="37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8"/>
        <v>0</v>
      </c>
      <c r="X95" s="155">
        <f t="shared" ca="1" si="39"/>
        <v>16273.31</v>
      </c>
      <c r="Y95" s="156" t="s">
        <v>244</v>
      </c>
      <c r="Z95" t="str">
        <f t="shared" ca="1" si="40"/>
        <v/>
      </c>
      <c r="AA95" s="157">
        <f ca="1">IF($C95="S",IF($Z95="CP",$X95,IF($Z95="RA",(($X95)*QCI!$AA$3),0)),SomaAgrup)</f>
        <v>16273.310000000001</v>
      </c>
      <c r="AB95" s="158">
        <f t="shared" ca="1" si="41"/>
        <v>0</v>
      </c>
      <c r="AC95" s="159" t="str">
        <f t="shared" ca="1" si="42"/>
        <v/>
      </c>
      <c r="AD95" s="105">
        <f ca="1">IF(C95&lt;=CRONO.NivelExibicao,MAX($AD$15:OFFSET(AD95,-1,0))+IF($C95&lt;&gt;1,1,MAX(1,COUNTIF(QCI!$A$13:$A$24,OFFSET($E95,-1,0)))),"")</f>
        <v>10</v>
      </c>
      <c r="AE95" s="115" t="b">
        <f t="shared" ca="1" si="43"/>
        <v>0</v>
      </c>
      <c r="AF95" s="160" t="str">
        <f t="shared" ca="1" si="44"/>
        <v>(Sem Código)</v>
      </c>
      <c r="AG95" s="550">
        <f t="shared" ca="1" si="45"/>
        <v>0</v>
      </c>
      <c r="AH95" s="551">
        <f t="shared" ca="1" si="46"/>
        <v>0.27350000000000002</v>
      </c>
      <c r="AJ95" s="553"/>
      <c r="AL95" s="574"/>
      <c r="AM95" s="431">
        <f t="shared" ca="1" si="47"/>
        <v>16273.31</v>
      </c>
      <c r="AN95" s="617">
        <f t="shared" ca="1" si="48"/>
        <v>0</v>
      </c>
    </row>
    <row r="96" spans="1:40" x14ac:dyDescent="0.2">
      <c r="A96" t="str">
        <f t="shared" si="25"/>
        <v>S</v>
      </c>
      <c r="B96">
        <f t="shared" ca="1" si="26"/>
        <v>2</v>
      </c>
      <c r="C96">
        <f t="shared" ca="1" si="27"/>
        <v>2</v>
      </c>
      <c r="D96">
        <f t="shared" ca="1" si="28"/>
        <v>170</v>
      </c>
      <c r="E96">
        <f ca="1">IF($C96=1,OFFSET(E96,-1,0)+MAX(1,COUNTIF(QCI!$A$13:$A$24,OFFSET(ORÇAMENTO!E96,-1,0))),OFFSET(E96,-1,0))</f>
        <v>5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0</v>
      </c>
      <c r="J96">
        <f t="shared" ca="1" si="33"/>
        <v>170</v>
      </c>
      <c r="K96" t="e">
        <f ca="1">IF(OR($C96="S",$C96=0),0,MATCH(OFFSET($D96,0,$C96)+IF($C96&lt;&gt;1,1,COUNTIF(QCI!$A$13:$A$24,ORÇAMENTO!E96)),OFFSET($D96,1,$C96,ROW($C$266)-ROW($C96)),0))</f>
        <v>#N/A</v>
      </c>
      <c r="L96" s="144" t="str">
        <f t="shared" ca="1" si="34"/>
        <v>F</v>
      </c>
      <c r="M96" s="145" t="s">
        <v>198</v>
      </c>
      <c r="N96" s="146" t="str">
        <f t="shared" ca="1" si="35"/>
        <v>Nível 2</v>
      </c>
      <c r="O96" s="147" t="str">
        <f t="shared" ca="1" si="36"/>
        <v>5.1.</v>
      </c>
      <c r="P96" s="148" t="s">
        <v>246</v>
      </c>
      <c r="Q96" s="149"/>
      <c r="R96" s="150" t="str">
        <f ca="1">IF($C96="S",REFERENCIA.Descricao,"(SERVIÇOS INICIAIS)")</f>
        <v>(SERVIÇOS INICIAIS)</v>
      </c>
      <c r="S96" s="151" t="str">
        <f t="shared" ca="1" si="37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8"/>
        <v>0</v>
      </c>
      <c r="X96" s="155">
        <f t="shared" ca="1" si="39"/>
        <v>16273.31</v>
      </c>
      <c r="Y96" s="156" t="s">
        <v>244</v>
      </c>
      <c r="Z96" t="str">
        <f t="shared" ca="1" si="40"/>
        <v/>
      </c>
      <c r="AA96" s="157">
        <f ca="1">IF($C96="S",IF($Z96="CP",$X96,IF($Z96="RA",(($X96)*QCI!$AA$3),0)),SomaAgrup)</f>
        <v>16273.310000000001</v>
      </c>
      <c r="AB96" s="158">
        <f t="shared" ca="1" si="41"/>
        <v>0</v>
      </c>
      <c r="AC96" s="159" t="str">
        <f t="shared" ca="1" si="42"/>
        <v/>
      </c>
      <c r="AD96" s="105">
        <f ca="1">IF(C96&lt;=CRONO.NivelExibicao,MAX($AD$15:OFFSET(AD96,-1,0))+IF($C96&lt;&gt;1,1,MAX(1,COUNTIF(QCI!$A$13:$A$24,OFFSET($E96,-1,0)))),"")</f>
        <v>11</v>
      </c>
      <c r="AE96" s="115" t="b">
        <f t="shared" ca="1" si="43"/>
        <v>0</v>
      </c>
      <c r="AF96" s="160" t="str">
        <f t="shared" ca="1" si="44"/>
        <v>(Sem Código)</v>
      </c>
      <c r="AG96" s="550">
        <f t="shared" ca="1" si="45"/>
        <v>0</v>
      </c>
      <c r="AH96" s="551">
        <f t="shared" ca="1" si="46"/>
        <v>0.27350000000000002</v>
      </c>
      <c r="AJ96" s="553"/>
      <c r="AL96" s="574"/>
      <c r="AM96" s="431">
        <f t="shared" ca="1" si="47"/>
        <v>16273.31</v>
      </c>
      <c r="AN96" s="617">
        <f t="shared" ca="1" si="48"/>
        <v>0</v>
      </c>
    </row>
    <row r="97" spans="1:40" ht="38.25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5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>F</v>
      </c>
      <c r="M97" s="145" t="s">
        <v>198</v>
      </c>
      <c r="N97" s="146" t="str">
        <f t="shared" ca="1" si="35"/>
        <v>Serviço</v>
      </c>
      <c r="O97" s="147" t="str">
        <f t="shared" ca="1" si="36"/>
        <v>5.1.1.</v>
      </c>
      <c r="P97" s="148" t="s">
        <v>246</v>
      </c>
      <c r="Q97" s="149" t="s">
        <v>462</v>
      </c>
      <c r="R97" s="150" t="str">
        <f t="shared" ca="1" si="49"/>
        <v>RETIRADA E RECOLOCAÇÃO DE CAIBRO EM TELHADOS DE ATÉ 2 ÁGUAS COM TELHA CERÂMICA OU DE CONCRETO DE ENCAIXE, INCLUSO TRANSPORTE VERTICAL. AF_07/2019</v>
      </c>
      <c r="S97" s="151" t="str">
        <f t="shared" ca="1" si="37"/>
        <v>M2</v>
      </c>
      <c r="T97" s="152">
        <f ca="1">OFFSET(CÁLCULO!H$15,ROW($T97)-ROW(T$15),0)</f>
        <v>90</v>
      </c>
      <c r="U97" s="153">
        <v>16.36</v>
      </c>
      <c r="V97" s="154" t="s">
        <v>155</v>
      </c>
      <c r="W97" s="152">
        <f t="shared" ca="1" si="38"/>
        <v>20.83</v>
      </c>
      <c r="X97" s="155">
        <f t="shared" ca="1" si="39"/>
        <v>1874.7</v>
      </c>
      <c r="Y97" s="156" t="s">
        <v>244</v>
      </c>
      <c r="Z97" t="str">
        <f t="shared" ca="1" si="40"/>
        <v>RA</v>
      </c>
      <c r="AA97" s="157">
        <f ca="1">IF($C97="S",IF($Z97="CP",$X97,IF($Z97="RA",(($X97)*QCI!$AA$3),0)),SomaAgrup)</f>
        <v>1874.7</v>
      </c>
      <c r="AB97" s="158">
        <f t="shared" ca="1" si="41"/>
        <v>0</v>
      </c>
      <c r="AC97" s="159" t="str">
        <f t="shared" ca="1" si="42"/>
        <v/>
      </c>
      <c r="AD97" s="105" t="str">
        <f ca="1">IF(C97&lt;=CRONO.NivelExibicao,MAX($AD$15:OFFSET(AD97,-1,0))+IF($C97&lt;&gt;1,1,MAX(1,COUNTIF(QCI!$A$13:$A$24,OFFSET($E97,-1,0)))),"")</f>
        <v/>
      </c>
      <c r="AE97" s="115" t="str">
        <f t="shared" ca="1" si="43"/>
        <v>SINAPI 100389</v>
      </c>
      <c r="AF97" s="160">
        <f t="shared" ca="1" si="44"/>
        <v>1201</v>
      </c>
      <c r="AG97" s="550">
        <f t="shared" ca="1" si="45"/>
        <v>16.36</v>
      </c>
      <c r="AH97" s="551">
        <f t="shared" ca="1" si="46"/>
        <v>0.27350000000000002</v>
      </c>
      <c r="AJ97" s="553">
        <v>90</v>
      </c>
      <c r="AL97" s="574"/>
      <c r="AM97" s="431">
        <f t="shared" ca="1" si="47"/>
        <v>1874.7</v>
      </c>
      <c r="AN97" s="617">
        <f t="shared" ca="1" si="48"/>
        <v>20.83</v>
      </c>
    </row>
    <row r="98" spans="1:40" ht="5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5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2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>F</v>
      </c>
      <c r="M98" s="145" t="s">
        <v>198</v>
      </c>
      <c r="N98" s="146" t="str">
        <f t="shared" ca="1" si="35"/>
        <v>Serviço</v>
      </c>
      <c r="O98" s="147" t="str">
        <f t="shared" ca="1" si="36"/>
        <v>5.1.2.</v>
      </c>
      <c r="P98" s="148" t="s">
        <v>246</v>
      </c>
      <c r="Q98" s="149" t="s">
        <v>463</v>
      </c>
      <c r="R98" s="150" t="str">
        <f t="shared" ca="1" si="49"/>
        <v>TELHAMENTO COM TELHA ONDULADA DE FIBROCIMENTO E = 6 MM, COM RECOBRIMENTO LATERAL DE 1/4 DE ONDA PARA TELHADO COM INCLINAÇÃO MAIOR QUE 10°, COM ATÉ 2 ÁGUAS, INCLUSO IÇAMENTO. AF_07/2019</v>
      </c>
      <c r="S98" s="151" t="str">
        <f t="shared" ca="1" si="37"/>
        <v>M2</v>
      </c>
      <c r="T98" s="152">
        <f ca="1">OFFSET(CÁLCULO!H$15,ROW($T98)-ROW(T$15),0)</f>
        <v>136</v>
      </c>
      <c r="U98" s="153">
        <v>44.53</v>
      </c>
      <c r="V98" s="154" t="s">
        <v>155</v>
      </c>
      <c r="W98" s="152">
        <f t="shared" ca="1" si="38"/>
        <v>56.71</v>
      </c>
      <c r="X98" s="155">
        <f t="shared" ca="1" si="39"/>
        <v>7712.56</v>
      </c>
      <c r="Y98" s="156" t="s">
        <v>244</v>
      </c>
      <c r="Z98" t="str">
        <f t="shared" ca="1" si="40"/>
        <v>RA</v>
      </c>
      <c r="AA98" s="157">
        <f ca="1">IF($C98="S",IF($Z98="CP",$X98,IF($Z98="RA",(($X98)*QCI!$AA$3),0)),SomaAgrup)</f>
        <v>7712.56</v>
      </c>
      <c r="AB98" s="158">
        <f t="shared" ca="1" si="41"/>
        <v>0</v>
      </c>
      <c r="AC98" s="159" t="str">
        <f t="shared" ca="1" si="42"/>
        <v/>
      </c>
      <c r="AD98" s="105" t="str">
        <f ca="1">IF(C98&lt;=CRONO.NivelExibicao,MAX($AD$15:OFFSET(AD98,-1,0))+IF($C98&lt;&gt;1,1,MAX(1,COUNTIF(QCI!$A$13:$A$24,OFFSET($E98,-1,0)))),"")</f>
        <v/>
      </c>
      <c r="AE98" s="115" t="str">
        <f t="shared" ca="1" si="43"/>
        <v>SINAPI 94207</v>
      </c>
      <c r="AF98" s="160">
        <f t="shared" ca="1" si="44"/>
        <v>1226</v>
      </c>
      <c r="AG98" s="550">
        <f t="shared" ca="1" si="45"/>
        <v>44.53</v>
      </c>
      <c r="AH98" s="551">
        <f t="shared" ca="1" si="46"/>
        <v>0.27350000000000002</v>
      </c>
      <c r="AJ98" s="553">
        <v>136</v>
      </c>
      <c r="AL98" s="574"/>
      <c r="AM98" s="431">
        <f t="shared" ca="1" si="47"/>
        <v>7712.56</v>
      </c>
      <c r="AN98" s="617">
        <f t="shared" ca="1" si="48"/>
        <v>56.71</v>
      </c>
    </row>
    <row r="99" spans="1:40" ht="38.25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5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3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>F</v>
      </c>
      <c r="M99" s="145" t="s">
        <v>198</v>
      </c>
      <c r="N99" s="146" t="str">
        <f t="shared" ca="1" si="35"/>
        <v>Serviço</v>
      </c>
      <c r="O99" s="147" t="str">
        <f t="shared" ca="1" si="36"/>
        <v>5.1.3.</v>
      </c>
      <c r="P99" s="148" t="s">
        <v>246</v>
      </c>
      <c r="Q99" s="149" t="s">
        <v>466</v>
      </c>
      <c r="R99" s="150" t="str">
        <f ca="1">IF($C99="S",REFERENCIA.Descricao,"(digite a descrição aqui)")</f>
        <v>CALHA EM CHAPA DE AÇO GALVANIZADO NÚMERO 24, DESENVOLVIMENTO DE 100 CM, INCLUSO TRANSPORTE VERTICAL. AF_07/2019</v>
      </c>
      <c r="S99" s="151" t="str">
        <f t="shared" ca="1" si="37"/>
        <v>M</v>
      </c>
      <c r="T99" s="152">
        <f ca="1">OFFSET(CÁLCULO!H$15,ROW($T99)-ROW(T$15),0)</f>
        <v>35</v>
      </c>
      <c r="U99" s="153">
        <v>150</v>
      </c>
      <c r="V99" s="154" t="s">
        <v>155</v>
      </c>
      <c r="W99" s="152">
        <f t="shared" ca="1" si="38"/>
        <v>191.03</v>
      </c>
      <c r="X99" s="155">
        <f t="shared" ca="1" si="39"/>
        <v>6686.05</v>
      </c>
      <c r="Y99" s="156" t="s">
        <v>244</v>
      </c>
      <c r="Z99" t="str">
        <f t="shared" ca="1" si="40"/>
        <v>RA</v>
      </c>
      <c r="AA99" s="157">
        <f ca="1">IF($C99="S",IF($Z99="CP",$X99,IF($Z99="RA",(($X99)*QCI!$AA$3),0)),SomaAgrup)</f>
        <v>6686.05</v>
      </c>
      <c r="AB99" s="158">
        <f t="shared" ca="1" si="41"/>
        <v>0</v>
      </c>
      <c r="AC99" s="159" t="str">
        <f t="shared" ca="1" si="42"/>
        <v/>
      </c>
      <c r="AD99" s="105" t="str">
        <f ca="1">IF(C99&lt;=CRONO.NivelExibicao,MAX($AD$15:OFFSET(AD99,-1,0))+IF($C99&lt;&gt;1,1,MAX(1,COUNTIF(QCI!$A$13:$A$24,OFFSET($E99,-1,0)))),"")</f>
        <v/>
      </c>
      <c r="AE99" s="115" t="str">
        <f t="shared" ca="1" si="43"/>
        <v>SINAPI 94229</v>
      </c>
      <c r="AF99" s="160">
        <f t="shared" ca="1" si="44"/>
        <v>1247</v>
      </c>
      <c r="AG99" s="550">
        <f t="shared" ca="1" si="45"/>
        <v>180.43</v>
      </c>
      <c r="AH99" s="551">
        <f t="shared" ca="1" si="46"/>
        <v>0.27350000000000002</v>
      </c>
      <c r="AJ99" s="553">
        <v>35</v>
      </c>
      <c r="AL99" s="574"/>
      <c r="AM99" s="431">
        <f t="shared" ca="1" si="47"/>
        <v>6686.05</v>
      </c>
      <c r="AN99" s="617">
        <f t="shared" ca="1" si="48"/>
        <v>191.03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5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3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49"/>
        <v>(Sem Código)</v>
      </c>
      <c r="S100" s="151" t="str">
        <f t="shared" ca="1" si="37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8"/>
        <v>0</v>
      </c>
      <c r="X100" s="155">
        <f t="shared" ca="1" si="39"/>
        <v>0</v>
      </c>
      <c r="Y100" s="156" t="s">
        <v>244</v>
      </c>
      <c r="Z100" t="str">
        <f t="shared" ca="1" si="40"/>
        <v/>
      </c>
      <c r="AA100" s="157">
        <f ca="1">IF($C100="S",IF($Z100="CP",$X100,IF($Z100="RA",(($X100)*QCI!$AA$3),0)),SomaAgrup)</f>
        <v>0</v>
      </c>
      <c r="AB100" s="158">
        <f t="shared" ca="1" si="41"/>
        <v>0</v>
      </c>
      <c r="AC100" s="159" t="str">
        <f t="shared" ca="1" si="42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3"/>
        <v>0</v>
      </c>
      <c r="AF100" s="160" t="str">
        <f t="shared" ca="1" si="44"/>
        <v>(Sem Código)</v>
      </c>
      <c r="AG100" s="550">
        <f t="shared" ca="1" si="45"/>
        <v>0</v>
      </c>
      <c r="AH100" s="551">
        <f t="shared" ca="1" si="46"/>
        <v>0.27350000000000002</v>
      </c>
      <c r="AJ100" s="553"/>
      <c r="AL100" s="574"/>
      <c r="AM100" s="431">
        <f t="shared" ca="1" si="47"/>
        <v>0</v>
      </c>
      <c r="AN100" s="617">
        <f t="shared" ca="1" si="48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5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3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49"/>
        <v>(Sem Código)</v>
      </c>
      <c r="S101" s="151" t="str">
        <f t="shared" ca="1" si="37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8"/>
        <v>0</v>
      </c>
      <c r="X101" s="155">
        <f t="shared" ca="1" si="39"/>
        <v>0</v>
      </c>
      <c r="Y101" s="156" t="s">
        <v>244</v>
      </c>
      <c r="Z101" t="str">
        <f t="shared" ca="1" si="40"/>
        <v/>
      </c>
      <c r="AA101" s="157">
        <f ca="1">IF($C101="S",IF($Z101="CP",$X101,IF($Z101="RA",(($X101)*QCI!$AA$3),0)),SomaAgrup)</f>
        <v>0</v>
      </c>
      <c r="AB101" s="158">
        <f t="shared" ca="1" si="41"/>
        <v>0</v>
      </c>
      <c r="AC101" s="159" t="str">
        <f t="shared" ca="1" si="42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3"/>
        <v>0</v>
      </c>
      <c r="AF101" s="160" t="str">
        <f t="shared" ca="1" si="44"/>
        <v>(Sem Código)</v>
      </c>
      <c r="AG101" s="550">
        <f t="shared" ca="1" si="45"/>
        <v>0</v>
      </c>
      <c r="AH101" s="551">
        <f t="shared" ca="1" si="46"/>
        <v>0.27350000000000002</v>
      </c>
      <c r="AJ101" s="553"/>
      <c r="AL101" s="574"/>
      <c r="AM101" s="431">
        <f t="shared" ca="1" si="47"/>
        <v>0</v>
      </c>
      <c r="AN101" s="617">
        <f t="shared" ca="1" si="48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5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3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49"/>
        <v>(Sem Código)</v>
      </c>
      <c r="S102" s="151" t="str">
        <f t="shared" ca="1" si="37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8"/>
        <v>0</v>
      </c>
      <c r="X102" s="155">
        <f t="shared" ca="1" si="39"/>
        <v>0</v>
      </c>
      <c r="Y102" s="156" t="s">
        <v>244</v>
      </c>
      <c r="Z102" t="str">
        <f t="shared" ca="1" si="40"/>
        <v/>
      </c>
      <c r="AA102" s="157">
        <f ca="1">IF($C102="S",IF($Z102="CP",$X102,IF($Z102="RA",(($X102)*QCI!$AA$3),0)),SomaAgrup)</f>
        <v>0</v>
      </c>
      <c r="AB102" s="158">
        <f t="shared" ca="1" si="41"/>
        <v>0</v>
      </c>
      <c r="AC102" s="159" t="str">
        <f t="shared" ca="1" si="42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3"/>
        <v>0</v>
      </c>
      <c r="AF102" s="160" t="str">
        <f t="shared" ca="1" si="44"/>
        <v>(Sem Código)</v>
      </c>
      <c r="AG102" s="550">
        <f t="shared" ca="1" si="45"/>
        <v>0</v>
      </c>
      <c r="AH102" s="551">
        <f t="shared" ca="1" si="46"/>
        <v>0.27350000000000002</v>
      </c>
      <c r="AJ102" s="553"/>
      <c r="AL102" s="574"/>
      <c r="AM102" s="431">
        <f t="shared" ca="1" si="47"/>
        <v>0</v>
      </c>
      <c r="AN102" s="617">
        <f t="shared" ca="1" si="48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5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3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49"/>
        <v>(Sem Código)</v>
      </c>
      <c r="S103" s="151" t="str">
        <f t="shared" ca="1" si="37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8"/>
        <v>0</v>
      </c>
      <c r="X103" s="155">
        <f t="shared" ca="1" si="39"/>
        <v>0</v>
      </c>
      <c r="Y103" s="156" t="s">
        <v>244</v>
      </c>
      <c r="Z103" t="str">
        <f t="shared" ca="1" si="40"/>
        <v/>
      </c>
      <c r="AA103" s="157">
        <f ca="1">IF($C103="S",IF($Z103="CP",$X103,IF($Z103="RA",(($X103)*QCI!$AA$3),0)),SomaAgrup)</f>
        <v>0</v>
      </c>
      <c r="AB103" s="158">
        <f t="shared" ca="1" si="41"/>
        <v>0</v>
      </c>
      <c r="AC103" s="159" t="str">
        <f t="shared" ca="1" si="42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3"/>
        <v>0</v>
      </c>
      <c r="AF103" s="160" t="str">
        <f t="shared" ca="1" si="44"/>
        <v>(Sem Código)</v>
      </c>
      <c r="AG103" s="550">
        <f t="shared" ca="1" si="45"/>
        <v>0</v>
      </c>
      <c r="AH103" s="551">
        <f t="shared" ca="1" si="46"/>
        <v>0.27350000000000002</v>
      </c>
      <c r="AJ103" s="553"/>
      <c r="AL103" s="574"/>
      <c r="AM103" s="431">
        <f t="shared" ca="1" si="47"/>
        <v>0</v>
      </c>
      <c r="AN103" s="617">
        <f t="shared" ca="1" si="48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5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3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49"/>
        <v>(Sem Código)</v>
      </c>
      <c r="S104" s="151" t="str">
        <f t="shared" ca="1" si="37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8"/>
        <v>0</v>
      </c>
      <c r="X104" s="155">
        <f t="shared" ca="1" si="39"/>
        <v>0</v>
      </c>
      <c r="Y104" s="156" t="s">
        <v>244</v>
      </c>
      <c r="Z104" t="str">
        <f t="shared" ca="1" si="40"/>
        <v/>
      </c>
      <c r="AA104" s="157">
        <f ca="1">IF($C104="S",IF($Z104="CP",$X104,IF($Z104="RA",(($X104)*QCI!$AA$3),0)),SomaAgrup)</f>
        <v>0</v>
      </c>
      <c r="AB104" s="158">
        <f t="shared" ca="1" si="41"/>
        <v>0</v>
      </c>
      <c r="AC104" s="159" t="str">
        <f t="shared" ca="1" si="42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3"/>
        <v>0</v>
      </c>
      <c r="AF104" s="160" t="str">
        <f t="shared" ca="1" si="44"/>
        <v>(Sem Código)</v>
      </c>
      <c r="AG104" s="550">
        <f t="shared" ca="1" si="45"/>
        <v>0</v>
      </c>
      <c r="AH104" s="551">
        <f t="shared" ca="1" si="46"/>
        <v>0.27350000000000002</v>
      </c>
      <c r="AJ104" s="553"/>
      <c r="AL104" s="574"/>
      <c r="AM104" s="431">
        <f t="shared" ca="1" si="47"/>
        <v>0</v>
      </c>
      <c r="AN104" s="617">
        <f t="shared" ca="1" si="48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5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3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49"/>
        <v>(Sem Código)</v>
      </c>
      <c r="S105" s="151" t="str">
        <f t="shared" ca="1" si="37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8"/>
        <v>0</v>
      </c>
      <c r="X105" s="155">
        <f t="shared" ca="1" si="39"/>
        <v>0</v>
      </c>
      <c r="Y105" s="156" t="s">
        <v>244</v>
      </c>
      <c r="Z105" t="str">
        <f t="shared" ca="1" si="40"/>
        <v/>
      </c>
      <c r="AA105" s="157">
        <f ca="1">IF($C105="S",IF($Z105="CP",$X105,IF($Z105="RA",(($X105)*QCI!$AA$3),0)),SomaAgrup)</f>
        <v>0</v>
      </c>
      <c r="AB105" s="158">
        <f t="shared" ca="1" si="41"/>
        <v>0</v>
      </c>
      <c r="AC105" s="159" t="str">
        <f t="shared" ca="1" si="42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3"/>
        <v>0</v>
      </c>
      <c r="AF105" s="160" t="str">
        <f t="shared" ca="1" si="44"/>
        <v>(Sem Código)</v>
      </c>
      <c r="AG105" s="550">
        <f t="shared" ca="1" si="45"/>
        <v>0</v>
      </c>
      <c r="AH105" s="551">
        <f t="shared" ca="1" si="46"/>
        <v>0.27350000000000002</v>
      </c>
      <c r="AJ105" s="553"/>
      <c r="AL105" s="574"/>
      <c r="AM105" s="431">
        <f t="shared" ca="1" si="47"/>
        <v>0</v>
      </c>
      <c r="AN105" s="617">
        <f t="shared" ca="1" si="48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5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3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49"/>
        <v>(Sem Código)</v>
      </c>
      <c r="S106" s="151" t="str">
        <f t="shared" ca="1" si="37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8"/>
        <v>0</v>
      </c>
      <c r="X106" s="155">
        <f t="shared" ca="1" si="39"/>
        <v>0</v>
      </c>
      <c r="Y106" s="156" t="s">
        <v>244</v>
      </c>
      <c r="Z106" t="str">
        <f t="shared" ca="1" si="40"/>
        <v/>
      </c>
      <c r="AA106" s="157">
        <f ca="1">IF($C106="S",IF($Z106="CP",$X106,IF($Z106="RA",(($X106)*QCI!$AA$3),0)),SomaAgrup)</f>
        <v>0</v>
      </c>
      <c r="AB106" s="158">
        <f t="shared" ca="1" si="41"/>
        <v>0</v>
      </c>
      <c r="AC106" s="159" t="str">
        <f t="shared" ca="1" si="42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3"/>
        <v>0</v>
      </c>
      <c r="AF106" s="160" t="str">
        <f t="shared" ca="1" si="44"/>
        <v>(Sem Código)</v>
      </c>
      <c r="AG106" s="550">
        <f t="shared" ca="1" si="45"/>
        <v>0</v>
      </c>
      <c r="AH106" s="551">
        <f t="shared" ca="1" si="46"/>
        <v>0.27350000000000002</v>
      </c>
      <c r="AJ106" s="553"/>
      <c r="AL106" s="574"/>
      <c r="AM106" s="431">
        <f t="shared" ca="1" si="47"/>
        <v>0</v>
      </c>
      <c r="AN106" s="617">
        <f t="shared" ca="1" si="48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5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3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49"/>
        <v>(Sem Código)</v>
      </c>
      <c r="S107" s="151" t="str">
        <f t="shared" ca="1" si="37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8"/>
        <v>0</v>
      </c>
      <c r="X107" s="155">
        <f t="shared" ca="1" si="39"/>
        <v>0</v>
      </c>
      <c r="Y107" s="156" t="s">
        <v>244</v>
      </c>
      <c r="Z107" t="str">
        <f t="shared" ca="1" si="40"/>
        <v/>
      </c>
      <c r="AA107" s="157">
        <f ca="1">IF($C107="S",IF($Z107="CP",$X107,IF($Z107="RA",(($X107)*QCI!$AA$3),0)),SomaAgrup)</f>
        <v>0</v>
      </c>
      <c r="AB107" s="158">
        <f t="shared" ca="1" si="41"/>
        <v>0</v>
      </c>
      <c r="AC107" s="159" t="str">
        <f t="shared" ca="1" si="42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3"/>
        <v>0</v>
      </c>
      <c r="AF107" s="160" t="str">
        <f t="shared" ca="1" si="44"/>
        <v>(Sem Código)</v>
      </c>
      <c r="AG107" s="550">
        <f t="shared" ca="1" si="45"/>
        <v>0</v>
      </c>
      <c r="AH107" s="551">
        <f t="shared" ca="1" si="46"/>
        <v>0.27350000000000002</v>
      </c>
      <c r="AJ107" s="553"/>
      <c r="AL107" s="574"/>
      <c r="AM107" s="431">
        <f t="shared" ca="1" si="47"/>
        <v>0</v>
      </c>
      <c r="AN107" s="617">
        <f t="shared" ca="1" si="48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5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3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49"/>
        <v>(Sem Código)</v>
      </c>
      <c r="S108" s="151" t="str">
        <f t="shared" ca="1" si="37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8"/>
        <v>0</v>
      </c>
      <c r="X108" s="155">
        <f t="shared" ca="1" si="39"/>
        <v>0</v>
      </c>
      <c r="Y108" s="156" t="s">
        <v>244</v>
      </c>
      <c r="Z108" t="str">
        <f t="shared" ca="1" si="40"/>
        <v/>
      </c>
      <c r="AA108" s="157">
        <f ca="1">IF($C108="S",IF($Z108="CP",$X108,IF($Z108="RA",(($X108)*QCI!$AA$3),0)),SomaAgrup)</f>
        <v>0</v>
      </c>
      <c r="AB108" s="158">
        <f t="shared" ca="1" si="41"/>
        <v>0</v>
      </c>
      <c r="AC108" s="159" t="str">
        <f t="shared" ca="1" si="42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3"/>
        <v>0</v>
      </c>
      <c r="AF108" s="160" t="str">
        <f t="shared" ca="1" si="44"/>
        <v>(Sem Código)</v>
      </c>
      <c r="AG108" s="550">
        <f t="shared" ca="1" si="45"/>
        <v>0</v>
      </c>
      <c r="AH108" s="551">
        <f t="shared" ca="1" si="46"/>
        <v>0.27350000000000002</v>
      </c>
      <c r="AJ108" s="553"/>
      <c r="AL108" s="574"/>
      <c r="AM108" s="431">
        <f t="shared" ca="1" si="47"/>
        <v>0</v>
      </c>
      <c r="AN108" s="617">
        <f t="shared" ca="1" si="48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5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3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49"/>
        <v>(Sem Código)</v>
      </c>
      <c r="S109" s="151" t="str">
        <f t="shared" ca="1" si="37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8"/>
        <v>0</v>
      </c>
      <c r="X109" s="155">
        <f t="shared" ca="1" si="39"/>
        <v>0</v>
      </c>
      <c r="Y109" s="156" t="s">
        <v>244</v>
      </c>
      <c r="Z109" t="str">
        <f t="shared" ca="1" si="40"/>
        <v/>
      </c>
      <c r="AA109" s="157">
        <f ca="1">IF($C109="S",IF($Z109="CP",$X109,IF($Z109="RA",(($X109)*QCI!$AA$3),0)),SomaAgrup)</f>
        <v>0</v>
      </c>
      <c r="AB109" s="158">
        <f t="shared" ca="1" si="41"/>
        <v>0</v>
      </c>
      <c r="AC109" s="159" t="str">
        <f t="shared" ca="1" si="42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3"/>
        <v>0</v>
      </c>
      <c r="AF109" s="160" t="str">
        <f t="shared" ca="1" si="44"/>
        <v>(Sem Código)</v>
      </c>
      <c r="AG109" s="550">
        <f t="shared" ca="1" si="45"/>
        <v>0</v>
      </c>
      <c r="AH109" s="551">
        <f t="shared" ca="1" si="46"/>
        <v>0.27350000000000002</v>
      </c>
      <c r="AJ109" s="553"/>
      <c r="AL109" s="574"/>
      <c r="AM109" s="431">
        <f t="shared" ca="1" si="47"/>
        <v>0</v>
      </c>
      <c r="AN109" s="617">
        <f t="shared" ca="1" si="48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5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3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/>
      <c r="S110" s="151" t="str">
        <f t="shared" ca="1" si="37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8"/>
        <v>0</v>
      </c>
      <c r="X110" s="155">
        <f t="shared" ca="1" si="39"/>
        <v>0</v>
      </c>
      <c r="Y110" s="156" t="s">
        <v>244</v>
      </c>
      <c r="Z110" t="str">
        <f t="shared" ca="1" si="40"/>
        <v/>
      </c>
      <c r="AA110" s="157">
        <f ca="1">IF($C110="S",IF($Z110="CP",$X110,IF($Z110="RA",(($X110)*QCI!$AA$3),0)),SomaAgrup)</f>
        <v>0</v>
      </c>
      <c r="AB110" s="158">
        <f t="shared" ca="1" si="41"/>
        <v>0</v>
      </c>
      <c r="AC110" s="159" t="str">
        <f t="shared" ca="1" si="42"/>
        <v>DESCRIÇÃO</v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3"/>
        <v>0</v>
      </c>
      <c r="AF110" s="160" t="str">
        <f t="shared" ca="1" si="44"/>
        <v>(Sem Código)</v>
      </c>
      <c r="AG110" s="550">
        <f t="shared" ca="1" si="45"/>
        <v>0</v>
      </c>
      <c r="AH110" s="551">
        <f t="shared" ca="1" si="46"/>
        <v>0.27350000000000002</v>
      </c>
      <c r="AJ110" s="553"/>
      <c r="AL110" s="574"/>
      <c r="AM110" s="431">
        <f t="shared" ca="1" si="47"/>
        <v>0</v>
      </c>
      <c r="AN110" s="617">
        <f t="shared" ca="1" si="48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5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3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/>
      <c r="S111" s="151" t="str">
        <f t="shared" ca="1" si="37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8"/>
        <v>0</v>
      </c>
      <c r="X111" s="155">
        <f t="shared" ca="1" si="39"/>
        <v>0</v>
      </c>
      <c r="Y111" s="156" t="s">
        <v>244</v>
      </c>
      <c r="Z111" t="str">
        <f t="shared" ca="1" si="40"/>
        <v/>
      </c>
      <c r="AA111" s="157">
        <f ca="1">IF($C111="S",IF($Z111="CP",$X111,IF($Z111="RA",(($X111)*QCI!$AA$3),0)),SomaAgrup)</f>
        <v>0</v>
      </c>
      <c r="AB111" s="158">
        <f t="shared" ca="1" si="41"/>
        <v>0</v>
      </c>
      <c r="AC111" s="159" t="str">
        <f t="shared" ca="1" si="42"/>
        <v>DESCRIÇÃO</v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3"/>
        <v>0</v>
      </c>
      <c r="AF111" s="160" t="str">
        <f t="shared" ca="1" si="44"/>
        <v>(Sem Código)</v>
      </c>
      <c r="AG111" s="550">
        <f t="shared" ca="1" si="45"/>
        <v>0</v>
      </c>
      <c r="AH111" s="551">
        <f t="shared" ca="1" si="46"/>
        <v>0.27350000000000002</v>
      </c>
      <c r="AJ111" s="553"/>
      <c r="AL111" s="574"/>
      <c r="AM111" s="431">
        <f t="shared" ca="1" si="47"/>
        <v>0</v>
      </c>
      <c r="AN111" s="617">
        <f t="shared" ca="1" si="48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5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3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451</v>
      </c>
      <c r="Q112" s="149"/>
      <c r="R112" s="150" t="str">
        <f t="shared" ca="1" si="49"/>
        <v>(Sem Código)</v>
      </c>
      <c r="S112" s="151" t="str">
        <f t="shared" ca="1" si="37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8"/>
        <v>0</v>
      </c>
      <c r="X112" s="155">
        <f t="shared" ca="1" si="39"/>
        <v>0</v>
      </c>
      <c r="Y112" s="156" t="s">
        <v>244</v>
      </c>
      <c r="Z112" t="str">
        <f t="shared" ca="1" si="40"/>
        <v/>
      </c>
      <c r="AA112" s="157">
        <f ca="1">IF($C112="S",IF($Z112="CP",$X112,IF($Z112="RA",(($X112)*QCI!$AA$3),0)),SomaAgrup)</f>
        <v>0</v>
      </c>
      <c r="AB112" s="158">
        <f t="shared" ca="1" si="41"/>
        <v>0</v>
      </c>
      <c r="AC112" s="159" t="str">
        <f t="shared" ca="1" si="42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3"/>
        <v>0</v>
      </c>
      <c r="AF112" s="160" t="str">
        <f t="shared" ca="1" si="44"/>
        <v>(Sem Código)</v>
      </c>
      <c r="AG112" s="550">
        <f t="shared" ca="1" si="45"/>
        <v>0</v>
      </c>
      <c r="AH112" s="551">
        <f t="shared" ca="1" si="46"/>
        <v>0.27350000000000002</v>
      </c>
      <c r="AJ112" s="553"/>
      <c r="AL112" s="574"/>
      <c r="AM112" s="431">
        <f t="shared" ca="1" si="47"/>
        <v>0</v>
      </c>
      <c r="AN112" s="617">
        <f t="shared" ca="1" si="48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5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3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49"/>
        <v>(Sem Código)</v>
      </c>
      <c r="S113" s="151" t="str">
        <f t="shared" ca="1" si="37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8"/>
        <v>0</v>
      </c>
      <c r="X113" s="155">
        <f t="shared" ca="1" si="39"/>
        <v>0</v>
      </c>
      <c r="Y113" s="156" t="s">
        <v>244</v>
      </c>
      <c r="Z113" t="str">
        <f t="shared" ca="1" si="40"/>
        <v/>
      </c>
      <c r="AA113" s="157">
        <f ca="1">IF($C113="S",IF($Z113="CP",$X113,IF($Z113="RA",(($X113)*QCI!$AA$3),0)),SomaAgrup)</f>
        <v>0</v>
      </c>
      <c r="AB113" s="158">
        <f t="shared" ca="1" si="41"/>
        <v>0</v>
      </c>
      <c r="AC113" s="159" t="str">
        <f t="shared" ca="1" si="42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3"/>
        <v>0</v>
      </c>
      <c r="AF113" s="160" t="str">
        <f t="shared" ca="1" si="44"/>
        <v>(Sem Código)</v>
      </c>
      <c r="AG113" s="550">
        <f t="shared" ca="1" si="45"/>
        <v>0</v>
      </c>
      <c r="AH113" s="551">
        <f t="shared" ca="1" si="46"/>
        <v>0.27350000000000002</v>
      </c>
      <c r="AJ113" s="553"/>
      <c r="AL113" s="574"/>
      <c r="AM113" s="431">
        <f t="shared" ca="1" si="47"/>
        <v>0</v>
      </c>
      <c r="AN113" s="617">
        <f t="shared" ca="1" si="48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5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3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49"/>
        <v>(Sem Código)</v>
      </c>
      <c r="S114" s="151" t="str">
        <f t="shared" ca="1" si="37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8"/>
        <v>0</v>
      </c>
      <c r="X114" s="155">
        <f t="shared" ca="1" si="39"/>
        <v>0</v>
      </c>
      <c r="Y114" s="156" t="s">
        <v>244</v>
      </c>
      <c r="Z114" t="str">
        <f t="shared" ca="1" si="40"/>
        <v/>
      </c>
      <c r="AA114" s="157">
        <f ca="1">IF($C114="S",IF($Z114="CP",$X114,IF($Z114="RA",(($X114)*QCI!$AA$3),0)),SomaAgrup)</f>
        <v>0</v>
      </c>
      <c r="AB114" s="158">
        <f t="shared" ca="1" si="41"/>
        <v>0</v>
      </c>
      <c r="AC114" s="159" t="str">
        <f t="shared" ca="1" si="42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3"/>
        <v>0</v>
      </c>
      <c r="AF114" s="160" t="str">
        <f t="shared" ca="1" si="44"/>
        <v>(Sem Código)</v>
      </c>
      <c r="AG114" s="550">
        <f t="shared" ca="1" si="45"/>
        <v>0</v>
      </c>
      <c r="AH114" s="551">
        <f t="shared" ca="1" si="46"/>
        <v>0.27350000000000002</v>
      </c>
      <c r="AJ114" s="553"/>
      <c r="AL114" s="574"/>
      <c r="AM114" s="431">
        <f t="shared" ca="1" si="47"/>
        <v>0</v>
      </c>
      <c r="AN114" s="617">
        <f t="shared" ca="1" si="48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5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3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451</v>
      </c>
      <c r="Q115" s="149"/>
      <c r="R115" s="150" t="str">
        <f t="shared" ca="1" si="49"/>
        <v>(Sem Código)</v>
      </c>
      <c r="S115" s="151" t="str">
        <f t="shared" ca="1" si="37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8"/>
        <v>0</v>
      </c>
      <c r="X115" s="155">
        <f t="shared" ca="1" si="39"/>
        <v>0</v>
      </c>
      <c r="Y115" s="156" t="s">
        <v>244</v>
      </c>
      <c r="Z115" t="str">
        <f t="shared" ca="1" si="40"/>
        <v/>
      </c>
      <c r="AA115" s="157">
        <f ca="1">IF($C115="S",IF($Z115="CP",$X115,IF($Z115="RA",(($X115)*QCI!$AA$3),0)),SomaAgrup)</f>
        <v>0</v>
      </c>
      <c r="AB115" s="158">
        <f t="shared" ca="1" si="41"/>
        <v>0</v>
      </c>
      <c r="AC115" s="159" t="str">
        <f t="shared" ca="1" si="42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3"/>
        <v>0</v>
      </c>
      <c r="AF115" s="160" t="str">
        <f t="shared" ca="1" si="44"/>
        <v>(Sem Código)</v>
      </c>
      <c r="AG115" s="550">
        <f t="shared" ca="1" si="45"/>
        <v>0</v>
      </c>
      <c r="AH115" s="551">
        <f t="shared" ca="1" si="46"/>
        <v>0.27350000000000002</v>
      </c>
      <c r="AJ115" s="553"/>
      <c r="AL115" s="574"/>
      <c r="AM115" s="431">
        <f t="shared" ca="1" si="47"/>
        <v>0</v>
      </c>
      <c r="AN115" s="617">
        <f t="shared" ca="1" si="48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5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3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49"/>
        <v>(Sem Código)</v>
      </c>
      <c r="S116" s="151" t="str">
        <f t="shared" ca="1" si="37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8"/>
        <v>0</v>
      </c>
      <c r="X116" s="155">
        <f t="shared" ca="1" si="39"/>
        <v>0</v>
      </c>
      <c r="Y116" s="156" t="s">
        <v>244</v>
      </c>
      <c r="Z116" t="str">
        <f t="shared" ca="1" si="40"/>
        <v/>
      </c>
      <c r="AA116" s="157">
        <f ca="1">IF($C116="S",IF($Z116="CP",$X116,IF($Z116="RA",(($X116)*QCI!$AA$3),0)),SomaAgrup)</f>
        <v>0</v>
      </c>
      <c r="AB116" s="158">
        <f t="shared" ca="1" si="41"/>
        <v>0</v>
      </c>
      <c r="AC116" s="159" t="str">
        <f t="shared" ca="1" si="42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3"/>
        <v>0</v>
      </c>
      <c r="AF116" s="160" t="str">
        <f t="shared" ca="1" si="44"/>
        <v>(Sem Código)</v>
      </c>
      <c r="AG116" s="550">
        <f t="shared" ca="1" si="45"/>
        <v>0</v>
      </c>
      <c r="AH116" s="551">
        <f t="shared" ca="1" si="46"/>
        <v>0.27350000000000002</v>
      </c>
      <c r="AJ116" s="553"/>
      <c r="AL116" s="574"/>
      <c r="AM116" s="431">
        <f t="shared" ca="1" si="47"/>
        <v>0</v>
      </c>
      <c r="AN116" s="617">
        <f t="shared" ca="1" si="48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5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3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49"/>
        <v>(Sem Código)</v>
      </c>
      <c r="S117" s="151" t="str">
        <f t="shared" ca="1" si="37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8"/>
        <v>0</v>
      </c>
      <c r="X117" s="155">
        <f t="shared" ca="1" si="39"/>
        <v>0</v>
      </c>
      <c r="Y117" s="156" t="s">
        <v>244</v>
      </c>
      <c r="Z117" t="str">
        <f t="shared" ca="1" si="40"/>
        <v/>
      </c>
      <c r="AA117" s="157">
        <f ca="1">IF($C117="S",IF($Z117="CP",$X117,IF($Z117="RA",(($X117)*QCI!$AA$3),0)),SomaAgrup)</f>
        <v>0</v>
      </c>
      <c r="AB117" s="158">
        <f t="shared" ca="1" si="41"/>
        <v>0</v>
      </c>
      <c r="AC117" s="159" t="str">
        <f t="shared" ca="1" si="42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3"/>
        <v>0</v>
      </c>
      <c r="AF117" s="160" t="str">
        <f t="shared" ca="1" si="44"/>
        <v>(Sem Código)</v>
      </c>
      <c r="AG117" s="550">
        <f t="shared" ca="1" si="45"/>
        <v>0</v>
      </c>
      <c r="AH117" s="551">
        <f t="shared" ca="1" si="46"/>
        <v>0.27350000000000002</v>
      </c>
      <c r="AJ117" s="553"/>
      <c r="AL117" s="574"/>
      <c r="AM117" s="431">
        <f t="shared" ca="1" si="47"/>
        <v>0</v>
      </c>
      <c r="AN117" s="617">
        <f t="shared" ca="1" si="48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5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3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49"/>
        <v>(Sem Código)</v>
      </c>
      <c r="S118" s="151" t="str">
        <f t="shared" ca="1" si="37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8"/>
        <v>0</v>
      </c>
      <c r="X118" s="155">
        <f t="shared" ca="1" si="39"/>
        <v>0</v>
      </c>
      <c r="Y118" s="156" t="s">
        <v>244</v>
      </c>
      <c r="Z118" t="str">
        <f t="shared" ca="1" si="40"/>
        <v/>
      </c>
      <c r="AA118" s="157">
        <f ca="1">IF($C118="S",IF($Z118="CP",$X118,IF($Z118="RA",(($X118)*QCI!$AA$3),0)),SomaAgrup)</f>
        <v>0</v>
      </c>
      <c r="AB118" s="158">
        <f t="shared" ca="1" si="41"/>
        <v>0</v>
      </c>
      <c r="AC118" s="159" t="str">
        <f t="shared" ca="1" si="42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3"/>
        <v>0</v>
      </c>
      <c r="AF118" s="160" t="str">
        <f t="shared" ca="1" si="44"/>
        <v>(Sem Código)</v>
      </c>
      <c r="AG118" s="550">
        <f t="shared" ca="1" si="45"/>
        <v>0</v>
      </c>
      <c r="AH118" s="551">
        <f t="shared" ca="1" si="46"/>
        <v>0.27350000000000002</v>
      </c>
      <c r="AJ118" s="553"/>
      <c r="AL118" s="574"/>
      <c r="AM118" s="431">
        <f t="shared" ca="1" si="47"/>
        <v>0</v>
      </c>
      <c r="AN118" s="617">
        <f t="shared" ca="1" si="48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5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3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49"/>
        <v>(Sem Código)</v>
      </c>
      <c r="S119" s="151" t="str">
        <f t="shared" ca="1" si="37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8"/>
        <v>0</v>
      </c>
      <c r="X119" s="155">
        <f t="shared" ca="1" si="39"/>
        <v>0</v>
      </c>
      <c r="Y119" s="156" t="s">
        <v>244</v>
      </c>
      <c r="Z119" t="str">
        <f t="shared" ca="1" si="40"/>
        <v/>
      </c>
      <c r="AA119" s="157">
        <f ca="1">IF($C119="S",IF($Z119="CP",$X119,IF($Z119="RA",(($X119)*QCI!$AA$3),0)),SomaAgrup)</f>
        <v>0</v>
      </c>
      <c r="AB119" s="158">
        <f t="shared" ca="1" si="41"/>
        <v>0</v>
      </c>
      <c r="AC119" s="159" t="str">
        <f t="shared" ca="1" si="42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3"/>
        <v>0</v>
      </c>
      <c r="AF119" s="160" t="str">
        <f t="shared" ca="1" si="44"/>
        <v>(Sem Código)</v>
      </c>
      <c r="AG119" s="550">
        <f t="shared" ca="1" si="45"/>
        <v>0</v>
      </c>
      <c r="AH119" s="551">
        <f t="shared" ca="1" si="46"/>
        <v>0.27350000000000002</v>
      </c>
      <c r="AJ119" s="553"/>
      <c r="AL119" s="574"/>
      <c r="AM119" s="431">
        <f t="shared" ca="1" si="47"/>
        <v>0</v>
      </c>
      <c r="AN119" s="617">
        <f t="shared" ca="1" si="48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5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3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49"/>
        <v>(Sem Código)</v>
      </c>
      <c r="S120" s="151" t="str">
        <f t="shared" ca="1" si="37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8"/>
        <v>0</v>
      </c>
      <c r="X120" s="155">
        <f t="shared" ca="1" si="39"/>
        <v>0</v>
      </c>
      <c r="Y120" s="156" t="s">
        <v>244</v>
      </c>
      <c r="Z120" t="str">
        <f t="shared" ca="1" si="40"/>
        <v/>
      </c>
      <c r="AA120" s="157">
        <f ca="1">IF($C120="S",IF($Z120="CP",$X120,IF($Z120="RA",(($X120)*QCI!$AA$3),0)),SomaAgrup)</f>
        <v>0</v>
      </c>
      <c r="AB120" s="158">
        <f t="shared" ca="1" si="41"/>
        <v>0</v>
      </c>
      <c r="AC120" s="159" t="str">
        <f t="shared" ca="1" si="42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3"/>
        <v>0</v>
      </c>
      <c r="AF120" s="160" t="str">
        <f t="shared" ca="1" si="44"/>
        <v>(Sem Código)</v>
      </c>
      <c r="AG120" s="550">
        <f t="shared" ca="1" si="45"/>
        <v>0</v>
      </c>
      <c r="AH120" s="551">
        <f t="shared" ca="1" si="46"/>
        <v>0.27350000000000002</v>
      </c>
      <c r="AJ120" s="553"/>
      <c r="AL120" s="574"/>
      <c r="AM120" s="431">
        <f t="shared" ca="1" si="47"/>
        <v>0</v>
      </c>
      <c r="AN120" s="617">
        <f t="shared" ca="1" si="48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5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3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49"/>
        <v>(Sem Código)</v>
      </c>
      <c r="S121" s="151" t="str">
        <f t="shared" ca="1" si="37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8"/>
        <v>0</v>
      </c>
      <c r="X121" s="155">
        <f t="shared" ca="1" si="39"/>
        <v>0</v>
      </c>
      <c r="Y121" s="156" t="s">
        <v>244</v>
      </c>
      <c r="Z121" t="str">
        <f t="shared" ca="1" si="40"/>
        <v/>
      </c>
      <c r="AA121" s="157">
        <f ca="1">IF($C121="S",IF($Z121="CP",$X121,IF($Z121="RA",(($X121)*QCI!$AA$3),0)),SomaAgrup)</f>
        <v>0</v>
      </c>
      <c r="AB121" s="158">
        <f t="shared" ca="1" si="41"/>
        <v>0</v>
      </c>
      <c r="AC121" s="159" t="str">
        <f t="shared" ca="1" si="42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3"/>
        <v>0</v>
      </c>
      <c r="AF121" s="160" t="str">
        <f t="shared" ca="1" si="44"/>
        <v>(Sem Código)</v>
      </c>
      <c r="AG121" s="550">
        <f t="shared" ca="1" si="45"/>
        <v>0</v>
      </c>
      <c r="AH121" s="551">
        <f t="shared" ca="1" si="46"/>
        <v>0.27350000000000002</v>
      </c>
      <c r="AJ121" s="553"/>
      <c r="AL121" s="574"/>
      <c r="AM121" s="431">
        <f t="shared" ca="1" si="47"/>
        <v>0</v>
      </c>
      <c r="AN121" s="617">
        <f t="shared" ca="1" si="48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5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3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49"/>
        <v>(Sem Código)</v>
      </c>
      <c r="S122" s="151" t="str">
        <f t="shared" ca="1" si="37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8"/>
        <v>0</v>
      </c>
      <c r="X122" s="155">
        <f t="shared" ca="1" si="39"/>
        <v>0</v>
      </c>
      <c r="Y122" s="156" t="s">
        <v>244</v>
      </c>
      <c r="Z122" t="str">
        <f t="shared" ca="1" si="40"/>
        <v/>
      </c>
      <c r="AA122" s="157">
        <f ca="1">IF($C122="S",IF($Z122="CP",$X122,IF($Z122="RA",(($X122)*QCI!$AA$3),0)),SomaAgrup)</f>
        <v>0</v>
      </c>
      <c r="AB122" s="158">
        <f t="shared" ca="1" si="41"/>
        <v>0</v>
      </c>
      <c r="AC122" s="159" t="str">
        <f t="shared" ca="1" si="42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3"/>
        <v>0</v>
      </c>
      <c r="AF122" s="160" t="str">
        <f t="shared" ca="1" si="44"/>
        <v>(Sem Código)</v>
      </c>
      <c r="AG122" s="550">
        <f t="shared" ca="1" si="45"/>
        <v>0</v>
      </c>
      <c r="AH122" s="551">
        <f t="shared" ca="1" si="46"/>
        <v>0.27350000000000002</v>
      </c>
      <c r="AJ122" s="553"/>
      <c r="AL122" s="574"/>
      <c r="AM122" s="431">
        <f t="shared" ca="1" si="47"/>
        <v>0</v>
      </c>
      <c r="AN122" s="617">
        <f t="shared" ca="1" si="48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5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3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49"/>
        <v>(Sem Código)</v>
      </c>
      <c r="S123" s="151" t="str">
        <f t="shared" ca="1" si="37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8"/>
        <v>0</v>
      </c>
      <c r="X123" s="155">
        <f t="shared" ca="1" si="39"/>
        <v>0</v>
      </c>
      <c r="Y123" s="156" t="s">
        <v>244</v>
      </c>
      <c r="Z123" t="str">
        <f t="shared" ca="1" si="40"/>
        <v/>
      </c>
      <c r="AA123" s="157">
        <f ca="1">IF($C123="S",IF($Z123="CP",$X123,IF($Z123="RA",(($X123)*QCI!$AA$3),0)),SomaAgrup)</f>
        <v>0</v>
      </c>
      <c r="AB123" s="158">
        <f t="shared" ca="1" si="41"/>
        <v>0</v>
      </c>
      <c r="AC123" s="159" t="str">
        <f t="shared" ca="1" si="42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3"/>
        <v>0</v>
      </c>
      <c r="AF123" s="160" t="str">
        <f t="shared" ca="1" si="44"/>
        <v>(Sem Código)</v>
      </c>
      <c r="AG123" s="550">
        <f t="shared" ca="1" si="45"/>
        <v>0</v>
      </c>
      <c r="AH123" s="551">
        <f t="shared" ca="1" si="46"/>
        <v>0.27350000000000002</v>
      </c>
      <c r="AJ123" s="553"/>
      <c r="AL123" s="574"/>
      <c r="AM123" s="431">
        <f t="shared" ca="1" si="47"/>
        <v>0</v>
      </c>
      <c r="AN123" s="617">
        <f t="shared" ca="1" si="48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5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3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49"/>
        <v>(Sem Código)</v>
      </c>
      <c r="S124" s="151" t="str">
        <f t="shared" ca="1" si="37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8"/>
        <v>0</v>
      </c>
      <c r="X124" s="155">
        <f t="shared" ca="1" si="39"/>
        <v>0</v>
      </c>
      <c r="Y124" s="156" t="s">
        <v>244</v>
      </c>
      <c r="Z124" t="str">
        <f t="shared" ca="1" si="40"/>
        <v/>
      </c>
      <c r="AA124" s="157">
        <f ca="1">IF($C124="S",IF($Z124="CP",$X124,IF($Z124="RA",(($X124)*QCI!$AA$3),0)),SomaAgrup)</f>
        <v>0</v>
      </c>
      <c r="AB124" s="158">
        <f t="shared" ca="1" si="41"/>
        <v>0</v>
      </c>
      <c r="AC124" s="159" t="str">
        <f t="shared" ca="1" si="42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3"/>
        <v>0</v>
      </c>
      <c r="AF124" s="160" t="str">
        <f t="shared" ca="1" si="44"/>
        <v>(Sem Código)</v>
      </c>
      <c r="AG124" s="550">
        <f t="shared" ca="1" si="45"/>
        <v>0</v>
      </c>
      <c r="AH124" s="551">
        <f t="shared" ca="1" si="46"/>
        <v>0.27350000000000002</v>
      </c>
      <c r="AJ124" s="553"/>
      <c r="AL124" s="574"/>
      <c r="AM124" s="431">
        <f t="shared" ca="1" si="47"/>
        <v>0</v>
      </c>
      <c r="AN124" s="617">
        <f t="shared" ca="1" si="48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5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3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49"/>
        <v>(Sem Código)</v>
      </c>
      <c r="S125" s="151" t="str">
        <f t="shared" ca="1" si="37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8"/>
        <v>0</v>
      </c>
      <c r="X125" s="155">
        <f t="shared" ca="1" si="39"/>
        <v>0</v>
      </c>
      <c r="Y125" s="156" t="s">
        <v>244</v>
      </c>
      <c r="Z125" t="str">
        <f t="shared" ca="1" si="40"/>
        <v/>
      </c>
      <c r="AA125" s="157">
        <f ca="1">IF($C125="S",IF($Z125="CP",$X125,IF($Z125="RA",(($X125)*QCI!$AA$3),0)),SomaAgrup)</f>
        <v>0</v>
      </c>
      <c r="AB125" s="158">
        <f t="shared" ca="1" si="41"/>
        <v>0</v>
      </c>
      <c r="AC125" s="159" t="str">
        <f t="shared" ca="1" si="42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3"/>
        <v>0</v>
      </c>
      <c r="AF125" s="160" t="str">
        <f t="shared" ca="1" si="44"/>
        <v>(Sem Código)</v>
      </c>
      <c r="AG125" s="550">
        <f t="shared" ca="1" si="45"/>
        <v>0</v>
      </c>
      <c r="AH125" s="551">
        <f t="shared" ca="1" si="46"/>
        <v>0.27350000000000002</v>
      </c>
      <c r="AJ125" s="553"/>
      <c r="AL125" s="574"/>
      <c r="AM125" s="431">
        <f t="shared" ca="1" si="47"/>
        <v>0</v>
      </c>
      <c r="AN125" s="617">
        <f t="shared" ca="1" si="48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5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3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49"/>
        <v>(Sem Código)</v>
      </c>
      <c r="S126" s="151" t="str">
        <f t="shared" ca="1" si="37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8"/>
        <v>0</v>
      </c>
      <c r="X126" s="155">
        <f t="shared" ca="1" si="39"/>
        <v>0</v>
      </c>
      <c r="Y126" s="156" t="s">
        <v>244</v>
      </c>
      <c r="Z126" t="str">
        <f t="shared" ca="1" si="40"/>
        <v/>
      </c>
      <c r="AA126" s="157">
        <f ca="1">IF($C126="S",IF($Z126="CP",$X126,IF($Z126="RA",(($X126)*QCI!$AA$3),0)),SomaAgrup)</f>
        <v>0</v>
      </c>
      <c r="AB126" s="158">
        <f t="shared" ca="1" si="41"/>
        <v>0</v>
      </c>
      <c r="AC126" s="159" t="str">
        <f t="shared" ca="1" si="42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3"/>
        <v>0</v>
      </c>
      <c r="AF126" s="160" t="str">
        <f t="shared" ca="1" si="44"/>
        <v>(Sem Código)</v>
      </c>
      <c r="AG126" s="550">
        <f t="shared" ca="1" si="45"/>
        <v>0</v>
      </c>
      <c r="AH126" s="551">
        <f t="shared" ca="1" si="46"/>
        <v>0.27350000000000002</v>
      </c>
      <c r="AJ126" s="553"/>
      <c r="AL126" s="574"/>
      <c r="AM126" s="431">
        <f t="shared" ca="1" si="47"/>
        <v>0</v>
      </c>
      <c r="AN126" s="617">
        <f t="shared" ca="1" si="48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5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3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49"/>
        <v>(Sem Código)</v>
      </c>
      <c r="S127" s="151" t="str">
        <f t="shared" ca="1" si="37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8"/>
        <v>0</v>
      </c>
      <c r="X127" s="155">
        <f t="shared" ca="1" si="39"/>
        <v>0</v>
      </c>
      <c r="Y127" s="156" t="s">
        <v>244</v>
      </c>
      <c r="Z127" t="str">
        <f t="shared" ca="1" si="40"/>
        <v/>
      </c>
      <c r="AA127" s="157">
        <f ca="1">IF($C127="S",IF($Z127="CP",$X127,IF($Z127="RA",(($X127)*QCI!$AA$3),0)),SomaAgrup)</f>
        <v>0</v>
      </c>
      <c r="AB127" s="158">
        <f t="shared" ca="1" si="41"/>
        <v>0</v>
      </c>
      <c r="AC127" s="159" t="str">
        <f t="shared" ca="1" si="42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3"/>
        <v>0</v>
      </c>
      <c r="AF127" s="160" t="str">
        <f t="shared" ca="1" si="44"/>
        <v>(Sem Código)</v>
      </c>
      <c r="AG127" s="550">
        <f t="shared" ca="1" si="45"/>
        <v>0</v>
      </c>
      <c r="AH127" s="551">
        <f t="shared" ca="1" si="46"/>
        <v>0.27350000000000002</v>
      </c>
      <c r="AJ127" s="553"/>
      <c r="AL127" s="574"/>
      <c r="AM127" s="431">
        <f t="shared" ca="1" si="47"/>
        <v>0</v>
      </c>
      <c r="AN127" s="617">
        <f t="shared" ca="1" si="48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5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3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49"/>
        <v>(Sem Código)</v>
      </c>
      <c r="S128" s="151" t="str">
        <f t="shared" ca="1" si="37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8"/>
        <v>0</v>
      </c>
      <c r="X128" s="155">
        <f t="shared" ca="1" si="39"/>
        <v>0</v>
      </c>
      <c r="Y128" s="156" t="s">
        <v>244</v>
      </c>
      <c r="Z128" t="str">
        <f t="shared" ca="1" si="40"/>
        <v/>
      </c>
      <c r="AA128" s="157">
        <f ca="1">IF($C128="S",IF($Z128="CP",$X128,IF($Z128="RA",(($X128)*QCI!$AA$3),0)),SomaAgrup)</f>
        <v>0</v>
      </c>
      <c r="AB128" s="158">
        <f t="shared" ca="1" si="41"/>
        <v>0</v>
      </c>
      <c r="AC128" s="159" t="str">
        <f t="shared" ca="1" si="42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3"/>
        <v>0</v>
      </c>
      <c r="AF128" s="160" t="str">
        <f t="shared" ca="1" si="44"/>
        <v>(Sem Código)</v>
      </c>
      <c r="AG128" s="550">
        <f t="shared" ca="1" si="45"/>
        <v>0</v>
      </c>
      <c r="AH128" s="551">
        <f t="shared" ca="1" si="46"/>
        <v>0.27350000000000002</v>
      </c>
      <c r="AJ128" s="553"/>
      <c r="AL128" s="574"/>
      <c r="AM128" s="431">
        <f t="shared" ca="1" si="47"/>
        <v>0</v>
      </c>
      <c r="AN128" s="617">
        <f t="shared" ca="1" si="48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5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3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49"/>
        <v>(Sem Código)</v>
      </c>
      <c r="S129" s="151" t="str">
        <f t="shared" ca="1" si="37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8"/>
        <v>0</v>
      </c>
      <c r="X129" s="155">
        <f t="shared" ca="1" si="39"/>
        <v>0</v>
      </c>
      <c r="Y129" s="156" t="s">
        <v>244</v>
      </c>
      <c r="Z129" t="str">
        <f t="shared" ca="1" si="40"/>
        <v/>
      </c>
      <c r="AA129" s="157">
        <f ca="1">IF($C129="S",IF($Z129="CP",$X129,IF($Z129="RA",(($X129)*QCI!$AA$3),0)),SomaAgrup)</f>
        <v>0</v>
      </c>
      <c r="AB129" s="158">
        <f t="shared" ca="1" si="41"/>
        <v>0</v>
      </c>
      <c r="AC129" s="159" t="str">
        <f t="shared" ca="1" si="42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3"/>
        <v>0</v>
      </c>
      <c r="AF129" s="160" t="str">
        <f t="shared" ca="1" si="44"/>
        <v>(Sem Código)</v>
      </c>
      <c r="AG129" s="550">
        <f t="shared" ca="1" si="45"/>
        <v>0</v>
      </c>
      <c r="AH129" s="551">
        <f t="shared" ca="1" si="46"/>
        <v>0.27350000000000002</v>
      </c>
      <c r="AJ129" s="553"/>
      <c r="AL129" s="574"/>
      <c r="AM129" s="431">
        <f t="shared" ca="1" si="47"/>
        <v>0</v>
      </c>
      <c r="AN129" s="617">
        <f t="shared" ca="1" si="48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5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3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49"/>
        <v>(Sem Código)</v>
      </c>
      <c r="S130" s="151" t="str">
        <f t="shared" ca="1" si="37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8"/>
        <v>0</v>
      </c>
      <c r="X130" s="155">
        <f t="shared" ca="1" si="39"/>
        <v>0</v>
      </c>
      <c r="Y130" s="156" t="s">
        <v>244</v>
      </c>
      <c r="Z130" t="str">
        <f t="shared" ca="1" si="40"/>
        <v/>
      </c>
      <c r="AA130" s="157">
        <f ca="1">IF($C130="S",IF($Z130="CP",$X130,IF($Z130="RA",(($X130)*QCI!$AA$3),0)),SomaAgrup)</f>
        <v>0</v>
      </c>
      <c r="AB130" s="158">
        <f t="shared" ca="1" si="41"/>
        <v>0</v>
      </c>
      <c r="AC130" s="159" t="str">
        <f t="shared" ca="1" si="42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3"/>
        <v>0</v>
      </c>
      <c r="AF130" s="160" t="str">
        <f t="shared" ca="1" si="44"/>
        <v>(Sem Código)</v>
      </c>
      <c r="AG130" s="550">
        <f t="shared" ca="1" si="45"/>
        <v>0</v>
      </c>
      <c r="AH130" s="551">
        <f t="shared" ca="1" si="46"/>
        <v>0.27350000000000002</v>
      </c>
      <c r="AJ130" s="553"/>
      <c r="AL130" s="574"/>
      <c r="AM130" s="431">
        <f t="shared" ca="1" si="47"/>
        <v>0</v>
      </c>
      <c r="AN130" s="617">
        <f t="shared" ca="1" si="48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5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3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/>
      <c r="S131" s="151" t="str">
        <f t="shared" ca="1" si="37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8"/>
        <v>0</v>
      </c>
      <c r="X131" s="155">
        <f t="shared" ca="1" si="39"/>
        <v>0</v>
      </c>
      <c r="Y131" s="156" t="s">
        <v>244</v>
      </c>
      <c r="Z131" t="str">
        <f t="shared" ca="1" si="40"/>
        <v/>
      </c>
      <c r="AA131" s="157">
        <f ca="1">IF($C131="S",IF($Z131="CP",$X131,IF($Z131="RA",(($X131)*QCI!$AA$3),0)),SomaAgrup)</f>
        <v>0</v>
      </c>
      <c r="AB131" s="158">
        <f t="shared" ca="1" si="41"/>
        <v>0</v>
      </c>
      <c r="AC131" s="159" t="str">
        <f t="shared" ca="1" si="42"/>
        <v>DESCRIÇÃO</v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3"/>
        <v>0</v>
      </c>
      <c r="AF131" s="160" t="str">
        <f t="shared" ca="1" si="44"/>
        <v>(Sem Código)</v>
      </c>
      <c r="AG131" s="550">
        <f t="shared" ca="1" si="45"/>
        <v>0</v>
      </c>
      <c r="AH131" s="551">
        <f t="shared" ca="1" si="46"/>
        <v>0.27350000000000002</v>
      </c>
      <c r="AJ131" s="553"/>
      <c r="AL131" s="574"/>
      <c r="AM131" s="431">
        <f t="shared" ca="1" si="47"/>
        <v>0</v>
      </c>
      <c r="AN131" s="617">
        <f t="shared" ca="1" si="48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5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3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/>
      <c r="S132" s="151" t="str">
        <f t="shared" ca="1" si="37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8"/>
        <v>0</v>
      </c>
      <c r="X132" s="155">
        <f t="shared" ca="1" si="39"/>
        <v>0</v>
      </c>
      <c r="Y132" s="156" t="s">
        <v>244</v>
      </c>
      <c r="Z132" t="str">
        <f t="shared" ca="1" si="40"/>
        <v/>
      </c>
      <c r="AA132" s="157">
        <f ca="1">IF($C132="S",IF($Z132="CP",$X132,IF($Z132="RA",(($X132)*QCI!$AA$3),0)),SomaAgrup)</f>
        <v>0</v>
      </c>
      <c r="AB132" s="158">
        <f t="shared" ca="1" si="41"/>
        <v>0</v>
      </c>
      <c r="AC132" s="159" t="str">
        <f t="shared" ca="1" si="42"/>
        <v>DESCRIÇÃO</v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3"/>
        <v>0</v>
      </c>
      <c r="AF132" s="160" t="str">
        <f t="shared" ca="1" si="44"/>
        <v>(Sem Código)</v>
      </c>
      <c r="AG132" s="550">
        <f t="shared" ca="1" si="45"/>
        <v>0</v>
      </c>
      <c r="AH132" s="551">
        <f t="shared" ca="1" si="46"/>
        <v>0.27350000000000002</v>
      </c>
      <c r="AJ132" s="553"/>
      <c r="AL132" s="574"/>
      <c r="AM132" s="431">
        <f t="shared" ca="1" si="47"/>
        <v>0</v>
      </c>
      <c r="AN132" s="617">
        <f t="shared" ca="1" si="48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5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3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451</v>
      </c>
      <c r="Q133" s="149"/>
      <c r="R133" s="150" t="str">
        <f t="shared" ca="1" si="49"/>
        <v>(Sem Código)</v>
      </c>
      <c r="S133" s="151" t="str">
        <f t="shared" ca="1" si="37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8"/>
        <v>0</v>
      </c>
      <c r="X133" s="155">
        <f t="shared" ca="1" si="39"/>
        <v>0</v>
      </c>
      <c r="Y133" s="156" t="s">
        <v>244</v>
      </c>
      <c r="Z133" t="str">
        <f t="shared" ca="1" si="40"/>
        <v/>
      </c>
      <c r="AA133" s="157">
        <f ca="1">IF($C133="S",IF($Z133="CP",$X133,IF($Z133="RA",(($X133)*QCI!$AA$3),0)),SomaAgrup)</f>
        <v>0</v>
      </c>
      <c r="AB133" s="158">
        <f t="shared" ca="1" si="41"/>
        <v>0</v>
      </c>
      <c r="AC133" s="159" t="str">
        <f t="shared" ca="1" si="42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3"/>
        <v>0</v>
      </c>
      <c r="AF133" s="160" t="str">
        <f t="shared" ca="1" si="44"/>
        <v>(Sem Código)</v>
      </c>
      <c r="AG133" s="550">
        <f t="shared" ca="1" si="45"/>
        <v>0</v>
      </c>
      <c r="AH133" s="551">
        <f t="shared" ca="1" si="46"/>
        <v>0.27350000000000002</v>
      </c>
      <c r="AJ133" s="553"/>
      <c r="AL133" s="574"/>
      <c r="AM133" s="431">
        <f t="shared" ca="1" si="47"/>
        <v>0</v>
      </c>
      <c r="AN133" s="617">
        <f t="shared" ca="1" si="48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5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3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451</v>
      </c>
      <c r="Q134" s="149"/>
      <c r="R134" s="150" t="str">
        <f t="shared" ca="1" si="49"/>
        <v>(Sem Código)</v>
      </c>
      <c r="S134" s="151" t="str">
        <f t="shared" ca="1" si="37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8"/>
        <v>0</v>
      </c>
      <c r="X134" s="155">
        <f t="shared" ca="1" si="39"/>
        <v>0</v>
      </c>
      <c r="Y134" s="156" t="s">
        <v>244</v>
      </c>
      <c r="Z134" t="str">
        <f t="shared" ca="1" si="40"/>
        <v/>
      </c>
      <c r="AA134" s="157">
        <f ca="1">IF($C134="S",IF($Z134="CP",$X134,IF($Z134="RA",(($X134)*QCI!$AA$3),0)),SomaAgrup)</f>
        <v>0</v>
      </c>
      <c r="AB134" s="158">
        <f t="shared" ca="1" si="41"/>
        <v>0</v>
      </c>
      <c r="AC134" s="159" t="str">
        <f t="shared" ca="1" si="42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3"/>
        <v>0</v>
      </c>
      <c r="AF134" s="160" t="str">
        <f t="shared" ca="1" si="44"/>
        <v>(Sem Código)</v>
      </c>
      <c r="AG134" s="550">
        <f t="shared" ca="1" si="45"/>
        <v>0</v>
      </c>
      <c r="AH134" s="551">
        <f t="shared" ca="1" si="46"/>
        <v>0.27350000000000002</v>
      </c>
      <c r="AJ134" s="553"/>
      <c r="AL134" s="574"/>
      <c r="AM134" s="431">
        <f t="shared" ca="1" si="47"/>
        <v>0</v>
      </c>
      <c r="AN134" s="617">
        <f t="shared" ca="1" si="48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5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3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49"/>
        <v>(Sem Código)</v>
      </c>
      <c r="S135" s="151" t="str">
        <f t="shared" ca="1" si="37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8"/>
        <v>0</v>
      </c>
      <c r="X135" s="155">
        <f t="shared" ca="1" si="39"/>
        <v>0</v>
      </c>
      <c r="Y135" s="156" t="s">
        <v>244</v>
      </c>
      <c r="Z135" t="str">
        <f t="shared" ca="1" si="40"/>
        <v/>
      </c>
      <c r="AA135" s="157">
        <f ca="1">IF($C135="S",IF($Z135="CP",$X135,IF($Z135="RA",(($X135)*QCI!$AA$3),0)),SomaAgrup)</f>
        <v>0</v>
      </c>
      <c r="AB135" s="158">
        <f t="shared" ca="1" si="41"/>
        <v>0</v>
      </c>
      <c r="AC135" s="159" t="str">
        <f t="shared" ca="1" si="42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3"/>
        <v>0</v>
      </c>
      <c r="AF135" s="160" t="str">
        <f t="shared" ca="1" si="44"/>
        <v>(Sem Código)</v>
      </c>
      <c r="AG135" s="550">
        <f t="shared" ca="1" si="45"/>
        <v>0</v>
      </c>
      <c r="AH135" s="551">
        <f t="shared" ca="1" si="46"/>
        <v>0.27350000000000002</v>
      </c>
      <c r="AJ135" s="553"/>
      <c r="AL135" s="574"/>
      <c r="AM135" s="431">
        <f t="shared" ca="1" si="47"/>
        <v>0</v>
      </c>
      <c r="AN135" s="617">
        <f t="shared" ca="1" si="48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5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3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49"/>
        <v>(Sem Código)</v>
      </c>
      <c r="S136" s="151" t="str">
        <f t="shared" ca="1" si="37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8"/>
        <v>0</v>
      </c>
      <c r="X136" s="155">
        <f t="shared" ca="1" si="39"/>
        <v>0</v>
      </c>
      <c r="Y136" s="156" t="s">
        <v>244</v>
      </c>
      <c r="Z136" t="str">
        <f t="shared" ca="1" si="40"/>
        <v/>
      </c>
      <c r="AA136" s="157">
        <f ca="1">IF($C136="S",IF($Z136="CP",$X136,IF($Z136="RA",(($X136)*QCI!$AA$3),0)),SomaAgrup)</f>
        <v>0</v>
      </c>
      <c r="AB136" s="158">
        <f t="shared" ca="1" si="41"/>
        <v>0</v>
      </c>
      <c r="AC136" s="159" t="str">
        <f t="shared" ca="1" si="42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3"/>
        <v>0</v>
      </c>
      <c r="AF136" s="160" t="str">
        <f t="shared" ca="1" si="44"/>
        <v>(Sem Código)</v>
      </c>
      <c r="AG136" s="550">
        <f t="shared" ca="1" si="45"/>
        <v>0</v>
      </c>
      <c r="AH136" s="551">
        <f t="shared" ca="1" si="46"/>
        <v>0.27350000000000002</v>
      </c>
      <c r="AJ136" s="553"/>
      <c r="AL136" s="574"/>
      <c r="AM136" s="431">
        <f t="shared" ca="1" si="47"/>
        <v>0</v>
      </c>
      <c r="AN136" s="617">
        <f t="shared" ca="1" si="48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5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3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49"/>
        <v>(Sem Código)</v>
      </c>
      <c r="S137" s="151" t="str">
        <f t="shared" ca="1" si="37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8"/>
        <v>0</v>
      </c>
      <c r="X137" s="155">
        <f t="shared" ca="1" si="39"/>
        <v>0</v>
      </c>
      <c r="Y137" s="156" t="s">
        <v>244</v>
      </c>
      <c r="Z137" t="str">
        <f t="shared" ca="1" si="40"/>
        <v/>
      </c>
      <c r="AA137" s="157">
        <f ca="1">IF($C137="S",IF($Z137="CP",$X137,IF($Z137="RA",(($X137)*QCI!$AA$3),0)),SomaAgrup)</f>
        <v>0</v>
      </c>
      <c r="AB137" s="158">
        <f t="shared" ca="1" si="41"/>
        <v>0</v>
      </c>
      <c r="AC137" s="159" t="str">
        <f t="shared" ca="1" si="42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3"/>
        <v>0</v>
      </c>
      <c r="AF137" s="160" t="str">
        <f t="shared" ca="1" si="44"/>
        <v>(Sem Código)</v>
      </c>
      <c r="AG137" s="550">
        <f t="shared" ca="1" si="45"/>
        <v>0</v>
      </c>
      <c r="AH137" s="551">
        <f t="shared" ca="1" si="46"/>
        <v>0.27350000000000002</v>
      </c>
      <c r="AJ137" s="553"/>
      <c r="AL137" s="574"/>
      <c r="AM137" s="431">
        <f t="shared" ca="1" si="47"/>
        <v>0</v>
      </c>
      <c r="AN137" s="617">
        <f t="shared" ca="1" si="48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5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3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453</v>
      </c>
      <c r="Q138" s="149"/>
      <c r="R138" s="150" t="str">
        <f t="shared" ca="1" si="49"/>
        <v>(Sem Código)</v>
      </c>
      <c r="S138" s="151" t="str">
        <f t="shared" ca="1" si="37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8"/>
        <v>0</v>
      </c>
      <c r="X138" s="155">
        <f t="shared" ca="1" si="39"/>
        <v>0</v>
      </c>
      <c r="Y138" s="156" t="s">
        <v>244</v>
      </c>
      <c r="Z138" t="str">
        <f t="shared" ca="1" si="40"/>
        <v/>
      </c>
      <c r="AA138" s="157">
        <f ca="1">IF($C138="S",IF($Z138="CP",$X138,IF($Z138="RA",(($X138)*QCI!$AA$3),0)),SomaAgrup)</f>
        <v>0</v>
      </c>
      <c r="AB138" s="158">
        <f t="shared" ca="1" si="41"/>
        <v>0</v>
      </c>
      <c r="AC138" s="159" t="str">
        <f t="shared" ca="1" si="42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3"/>
        <v>0</v>
      </c>
      <c r="AF138" s="160" t="str">
        <f t="shared" ca="1" si="44"/>
        <v>(Sem Código)</v>
      </c>
      <c r="AG138" s="550">
        <f t="shared" ca="1" si="45"/>
        <v>0</v>
      </c>
      <c r="AH138" s="551">
        <f t="shared" ca="1" si="46"/>
        <v>0.27350000000000002</v>
      </c>
      <c r="AJ138" s="553"/>
      <c r="AL138" s="574"/>
      <c r="AM138" s="431">
        <f t="shared" ca="1" si="47"/>
        <v>0</v>
      </c>
      <c r="AN138" s="617">
        <f t="shared" ca="1" si="48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5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3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49"/>
        <v>(Sem Código)</v>
      </c>
      <c r="S139" s="151" t="str">
        <f t="shared" ca="1" si="37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8"/>
        <v>0</v>
      </c>
      <c r="X139" s="155">
        <f t="shared" ca="1" si="39"/>
        <v>0</v>
      </c>
      <c r="Y139" s="156" t="s">
        <v>244</v>
      </c>
      <c r="Z139" t="str">
        <f t="shared" ca="1" si="40"/>
        <v/>
      </c>
      <c r="AA139" s="157">
        <f ca="1">IF($C139="S",IF($Z139="CP",$X139,IF($Z139="RA",(($X139)*QCI!$AA$3),0)),SomaAgrup)</f>
        <v>0</v>
      </c>
      <c r="AB139" s="158">
        <f t="shared" ca="1" si="41"/>
        <v>0</v>
      </c>
      <c r="AC139" s="159" t="str">
        <f t="shared" ca="1" si="42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3"/>
        <v>0</v>
      </c>
      <c r="AF139" s="160" t="str">
        <f t="shared" ca="1" si="44"/>
        <v>(Sem Código)</v>
      </c>
      <c r="AG139" s="550">
        <f t="shared" ca="1" si="45"/>
        <v>0</v>
      </c>
      <c r="AH139" s="551">
        <f t="shared" ca="1" si="46"/>
        <v>0.27350000000000002</v>
      </c>
      <c r="AJ139" s="553"/>
      <c r="AL139" s="574"/>
      <c r="AM139" s="431">
        <f t="shared" ca="1" si="47"/>
        <v>0</v>
      </c>
      <c r="AN139" s="617">
        <f t="shared" ca="1" si="48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5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3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49"/>
        <v>(Sem Código)</v>
      </c>
      <c r="S140" s="151" t="str">
        <f t="shared" ca="1" si="37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8"/>
        <v>0</v>
      </c>
      <c r="X140" s="155">
        <f t="shared" ca="1" si="39"/>
        <v>0</v>
      </c>
      <c r="Y140" s="156" t="s">
        <v>244</v>
      </c>
      <c r="Z140" t="str">
        <f t="shared" ca="1" si="40"/>
        <v/>
      </c>
      <c r="AA140" s="157">
        <f ca="1">IF($C140="S",IF($Z140="CP",$X140,IF($Z140="RA",(($X140)*QCI!$AA$3),0)),SomaAgrup)</f>
        <v>0</v>
      </c>
      <c r="AB140" s="158">
        <f t="shared" ca="1" si="41"/>
        <v>0</v>
      </c>
      <c r="AC140" s="159" t="str">
        <f t="shared" ca="1" si="42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3"/>
        <v>0</v>
      </c>
      <c r="AF140" s="160" t="str">
        <f t="shared" ca="1" si="44"/>
        <v>(Sem Código)</v>
      </c>
      <c r="AG140" s="550">
        <f t="shared" ca="1" si="45"/>
        <v>0</v>
      </c>
      <c r="AH140" s="551">
        <f t="shared" ca="1" si="46"/>
        <v>0.27350000000000002</v>
      </c>
      <c r="AJ140" s="553"/>
      <c r="AL140" s="574"/>
      <c r="AM140" s="431">
        <f t="shared" ca="1" si="47"/>
        <v>0</v>
      </c>
      <c r="AN140" s="617">
        <f t="shared" ca="1" si="48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5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3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49"/>
        <v>(Sem Código)</v>
      </c>
      <c r="S141" s="151" t="str">
        <f t="shared" ca="1" si="37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8"/>
        <v>0</v>
      </c>
      <c r="X141" s="155">
        <f t="shared" ca="1" si="39"/>
        <v>0</v>
      </c>
      <c r="Y141" s="156" t="s">
        <v>244</v>
      </c>
      <c r="Z141" t="str">
        <f t="shared" ca="1" si="40"/>
        <v/>
      </c>
      <c r="AA141" s="157">
        <f ca="1">IF($C141="S",IF($Z141="CP",$X141,IF($Z141="RA",(($X141)*QCI!$AA$3),0)),SomaAgrup)</f>
        <v>0</v>
      </c>
      <c r="AB141" s="158">
        <f t="shared" ca="1" si="41"/>
        <v>0</v>
      </c>
      <c r="AC141" s="159" t="str">
        <f t="shared" ca="1" si="42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3"/>
        <v>0</v>
      </c>
      <c r="AF141" s="160" t="str">
        <f t="shared" ca="1" si="44"/>
        <v>(Sem Código)</v>
      </c>
      <c r="AG141" s="550">
        <f t="shared" ca="1" si="45"/>
        <v>0</v>
      </c>
      <c r="AH141" s="551">
        <f t="shared" ca="1" si="46"/>
        <v>0.27350000000000002</v>
      </c>
      <c r="AJ141" s="553"/>
      <c r="AL141" s="574"/>
      <c r="AM141" s="431">
        <f t="shared" ca="1" si="47"/>
        <v>0</v>
      </c>
      <c r="AN141" s="617">
        <f t="shared" ca="1" si="48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5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3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49"/>
        <v>(Sem Código)</v>
      </c>
      <c r="S142" s="151" t="str">
        <f t="shared" ca="1" si="37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8"/>
        <v>0</v>
      </c>
      <c r="X142" s="155">
        <f t="shared" ca="1" si="39"/>
        <v>0</v>
      </c>
      <c r="Y142" s="156" t="s">
        <v>244</v>
      </c>
      <c r="Z142" t="str">
        <f t="shared" ca="1" si="40"/>
        <v/>
      </c>
      <c r="AA142" s="157">
        <f ca="1">IF($C142="S",IF($Z142="CP",$X142,IF($Z142="RA",(($X142)*QCI!$AA$3),0)),SomaAgrup)</f>
        <v>0</v>
      </c>
      <c r="AB142" s="158">
        <f t="shared" ca="1" si="41"/>
        <v>0</v>
      </c>
      <c r="AC142" s="159" t="str">
        <f t="shared" ca="1" si="42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3"/>
        <v>0</v>
      </c>
      <c r="AF142" s="160" t="str">
        <f t="shared" ca="1" si="44"/>
        <v>(Sem Código)</v>
      </c>
      <c r="AG142" s="550">
        <f t="shared" ca="1" si="45"/>
        <v>0</v>
      </c>
      <c r="AH142" s="551">
        <f t="shared" ca="1" si="46"/>
        <v>0.27350000000000002</v>
      </c>
      <c r="AJ142" s="553"/>
      <c r="AL142" s="574"/>
      <c r="AM142" s="431">
        <f t="shared" ca="1" si="47"/>
        <v>0</v>
      </c>
      <c r="AN142" s="617">
        <f t="shared" ca="1" si="48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5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3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49"/>
        <v>(Sem Código)</v>
      </c>
      <c r="S143" s="151" t="str">
        <f t="shared" ca="1" si="37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8"/>
        <v>0</v>
      </c>
      <c r="X143" s="155">
        <f t="shared" ca="1" si="39"/>
        <v>0</v>
      </c>
      <c r="Y143" s="156" t="s">
        <v>244</v>
      </c>
      <c r="Z143" t="str">
        <f t="shared" ca="1" si="40"/>
        <v/>
      </c>
      <c r="AA143" s="157">
        <f ca="1">IF($C143="S",IF($Z143="CP",$X143,IF($Z143="RA",(($X143)*QCI!$AA$3),0)),SomaAgrup)</f>
        <v>0</v>
      </c>
      <c r="AB143" s="158">
        <f t="shared" ca="1" si="41"/>
        <v>0</v>
      </c>
      <c r="AC143" s="159" t="str">
        <f t="shared" ca="1" si="42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3"/>
        <v>0</v>
      </c>
      <c r="AF143" s="160" t="str">
        <f t="shared" ca="1" si="44"/>
        <v>(Sem Código)</v>
      </c>
      <c r="AG143" s="550">
        <f t="shared" ca="1" si="45"/>
        <v>0</v>
      </c>
      <c r="AH143" s="551">
        <f t="shared" ca="1" si="46"/>
        <v>0.27350000000000002</v>
      </c>
      <c r="AJ143" s="553"/>
      <c r="AL143" s="574"/>
      <c r="AM143" s="431">
        <f t="shared" ca="1" si="47"/>
        <v>0</v>
      </c>
      <c r="AN143" s="617">
        <f t="shared" ca="1" si="48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5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3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5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3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0.27350000000000002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5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3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0.27350000000000002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5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3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0.27350000000000002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5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3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0.27350000000000002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5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3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0.27350000000000002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5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3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0.27350000000000002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5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3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0.27350000000000002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5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3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0.27350000000000002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5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3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0.27350000000000002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5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3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0.27350000000000002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5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3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0.27350000000000002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5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3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0.27350000000000002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5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3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0.27350000000000002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5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3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0.27350000000000002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5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3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0.27350000000000002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5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3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0.27350000000000002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5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3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0.27350000000000002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5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3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0.27350000000000002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5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3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0.27350000000000002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5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3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0.27350000000000002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5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3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0.27350000000000002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5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3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0.27350000000000002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5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3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0.27350000000000002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5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3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0.27350000000000002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5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3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0.27350000000000002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5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3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0.27350000000000002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5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3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0.27350000000000002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5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3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0.27350000000000002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5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3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0.27350000000000002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5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3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0.27350000000000002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5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3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0.27350000000000002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5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3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0.27350000000000002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5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3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0.27350000000000002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5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3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0.27350000000000002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5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3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0.27350000000000002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5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3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0.27350000000000002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5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3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0.27350000000000002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5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3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0.27350000000000002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5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3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0.27350000000000002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5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3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0.27350000000000002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5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3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0.27350000000000002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5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3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0.27350000000000002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5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3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0.27350000000000002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5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3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0.27350000000000002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5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3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0.27350000000000002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5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3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0.27350000000000002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5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3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0.27350000000000002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5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3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0.27350000000000002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5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3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0.27350000000000002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5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3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0.27350000000000002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5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3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0.27350000000000002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5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3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0.27350000000000002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5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3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0.27350000000000002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5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3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0.27350000000000002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5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3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0.27350000000000002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5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3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0.27350000000000002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5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3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0.27350000000000002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5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3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0.27350000000000002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5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3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0.27350000000000002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5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3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0.27350000000000002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5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3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0.27350000000000002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5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3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0.27350000000000002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5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3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0.27350000000000002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5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3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5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3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0.27350000000000002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5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3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0.27350000000000002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5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3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0.27350000000000002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5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3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0.27350000000000002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5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3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0.27350000000000002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5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3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0.27350000000000002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5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3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0.27350000000000002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5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3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0.27350000000000002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5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3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0.27350000000000002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5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3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0.27350000000000002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5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3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0.27350000000000002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5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3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0.27350000000000002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5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3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0.27350000000000002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5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3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0.27350000000000002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5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3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0.27350000000000002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5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3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0.27350000000000002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5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3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0.27350000000000002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5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3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0.27350000000000002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5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3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0.27350000000000002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5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3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0.27350000000000002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5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3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0.27350000000000002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5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3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0.27350000000000002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5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3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0.27350000000000002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5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3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0.27350000000000002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5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3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0.27350000000000002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5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3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0.27350000000000002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5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3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0.27350000000000002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5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3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0.27350000000000002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5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3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0.27350000000000002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5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3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0.27350000000000002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5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3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0.27350000000000002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5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3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0.27350000000000002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5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3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0.27350000000000002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5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3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0.27350000000000002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5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3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0.27350000000000002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5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3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0.27350000000000002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5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3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0.27350000000000002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5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3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0.27350000000000002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5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3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0.27350000000000002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5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3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0.27350000000000002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5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3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0.27350000000000002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5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3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0.27350000000000002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5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3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0.27350000000000002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5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3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0.27350000000000002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5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3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0.27350000000000002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5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3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0.27350000000000002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5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3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0.27350000000000002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5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3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0.27350000000000002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5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3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0.27350000000000002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5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3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0.27350000000000002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5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3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0.27350000000000002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5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3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0.27350000000000002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5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3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0.27350000000000002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5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3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0.27350000000000002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5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3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0.27350000000000002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5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3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0.27350000000000002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5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3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0.27350000000000002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3" t="s">
        <v>248</v>
      </c>
      <c r="R269" s="703"/>
      <c r="S269" s="703"/>
      <c r="T269" s="703"/>
      <c r="U269" s="703"/>
      <c r="V269" s="703"/>
      <c r="W269" s="703"/>
      <c r="X269" s="703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4"/>
      <c r="P272" s="704"/>
      <c r="Q272" s="704"/>
      <c r="R272" s="704"/>
      <c r="S272" s="704"/>
      <c r="T272" s="704"/>
      <c r="U272" s="704"/>
      <c r="V272" s="704"/>
      <c r="W272" s="704"/>
      <c r="X272" s="704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4"/>
      <c r="P273" s="704"/>
      <c r="Q273" s="704"/>
      <c r="R273" s="704"/>
      <c r="S273" s="704"/>
      <c r="T273" s="704"/>
      <c r="U273" s="704"/>
      <c r="V273" s="704"/>
      <c r="W273" s="704"/>
      <c r="X273" s="704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5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5"/>
      <c r="Q276" s="705"/>
      <c r="R276" s="705"/>
      <c r="S276" s="705"/>
      <c r="T276" s="705"/>
      <c r="U276" s="705"/>
      <c r="V276" s="705"/>
      <c r="W276" s="705"/>
      <c r="X276" s="705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7" t="s">
        <v>249</v>
      </c>
      <c r="P277" s="707"/>
      <c r="Q277" s="707"/>
      <c r="R277" s="707"/>
      <c r="S277" s="707"/>
      <c r="T277" s="707"/>
      <c r="U277" s="707"/>
      <c r="V277" s="707"/>
      <c r="W277" s="707"/>
      <c r="X277" s="707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6" t="str">
        <f>Import.Município</f>
        <v>CÉU AZUL</v>
      </c>
      <c r="P279" s="706"/>
      <c r="Q279" s="706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1">
        <f>DADOS!$F$25</f>
        <v>44628</v>
      </c>
      <c r="P282" s="701"/>
      <c r="Q282" s="701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 M16">
    <cfRule type="cellIs" dxfId="1155" priority="7302" stopIfTrue="1" operator="notEqual">
      <formula>$N14</formula>
    </cfRule>
  </conditionalFormatting>
  <conditionalFormatting sqref="N14:O14 R14 W14:X14">
    <cfRule type="expression" dxfId="1154" priority="7303" stopIfTrue="1">
      <formula>$C14=1</formula>
    </cfRule>
    <cfRule type="expression" dxfId="1153" priority="7304" stopIfTrue="1">
      <formula>OR($C14=0,$C14=2,$C14=3,$C14=4)</formula>
    </cfRule>
  </conditionalFormatting>
  <conditionalFormatting sqref="U14:V14">
    <cfRule type="expression" dxfId="1152" priority="7305" stopIfTrue="1">
      <formula>$C14=1</formula>
    </cfRule>
    <cfRule type="expression" dxfId="1151" priority="7306" stopIfTrue="1">
      <formula>OR($C14=0,$C14=2,$C14=3,$C14=4)</formula>
    </cfRule>
    <cfRule type="expression" dxfId="1150" priority="7307" stopIfTrue="1">
      <formula>AND(TIPOORCAMENTO="Licitado",$C14&lt;&gt;"L",$C14&lt;&gt;-1)</formula>
    </cfRule>
  </conditionalFormatting>
  <conditionalFormatting sqref="P14:Q14 S14:T14 Y14 AG14:AH14">
    <cfRule type="expression" dxfId="1149" priority="7308" stopIfTrue="1">
      <formula>$C14=1</formula>
    </cfRule>
    <cfRule type="expression" dxfId="1148" priority="7309" stopIfTrue="1">
      <formula>OR($C14=0,$C14=2,$C14=3,$C14=4)</formula>
    </cfRule>
  </conditionalFormatting>
  <conditionalFormatting sqref="AJ7:AJ15 AJ266">
    <cfRule type="expression" dxfId="1147" priority="7310" stopIfTrue="1">
      <formula>OR(ACOMPANHAMENTO&lt;&gt;"BM",TIPOORCAMENTO="Licitado")</formula>
    </cfRule>
    <cfRule type="expression" dxfId="1146" priority="7311" stopIfTrue="1">
      <formula>$C7=1</formula>
    </cfRule>
    <cfRule type="expression" dxfId="1145" priority="7312" stopIfTrue="1">
      <formula>OR(AND(ISNUMBER($C7),$C7=0),$C7=2,$C7=3,$C7=4)</formula>
    </cfRule>
  </conditionalFormatting>
  <conditionalFormatting sqref="AL7:AL15 AL266">
    <cfRule type="expression" dxfId="1144" priority="7313" stopIfTrue="1">
      <formula>TIPOORCAMENTO="PROPOSTO"</formula>
    </cfRule>
    <cfRule type="expression" dxfId="1143" priority="7314" stopIfTrue="1">
      <formula>$C7=1</formula>
    </cfRule>
    <cfRule type="expression" dxfId="1142" priority="7315" stopIfTrue="1">
      <formula>OR(AND(ISNUMBER($C7),$C7=0),$C7=2,$C7=3,$C7=4)</formula>
    </cfRule>
  </conditionalFormatting>
  <conditionalFormatting sqref="O8:P8">
    <cfRule type="expression" dxfId="1141" priority="7319" stopIfTrue="1">
      <formula>ISERROR(INDIRECT($F$9))</formula>
    </cfRule>
  </conditionalFormatting>
  <conditionalFormatting sqref="S7:V8">
    <cfRule type="expression" dxfId="1140" priority="7320" stopIfTrue="1">
      <formula>TIPOORCAMENTO="Proposto"</formula>
    </cfRule>
  </conditionalFormatting>
  <conditionalFormatting sqref="S9:V9">
    <cfRule type="expression" dxfId="1139" priority="7267" stopIfTrue="1">
      <formula>TIPOORCAMENTO="Proposto"</formula>
    </cfRule>
  </conditionalFormatting>
  <conditionalFormatting sqref="AM7:AN15 AM266:AN266">
    <cfRule type="expression" dxfId="1138" priority="7316" stopIfTrue="1">
      <formula>TIPOORCAMENTO="PROPOSTO"</formula>
    </cfRule>
    <cfRule type="expression" dxfId="1137" priority="7317" stopIfTrue="1">
      <formula>$C7=1</formula>
    </cfRule>
    <cfRule type="expression" dxfId="1136" priority="7318" stopIfTrue="1">
      <formula>OR(AND(ISNUMBER($C7),$C7=0),$C7=2,$C7=3,$C7=4)</formula>
    </cfRule>
  </conditionalFormatting>
  <conditionalFormatting sqref="M19:M24">
    <cfRule type="cellIs" dxfId="1135" priority="460" stopIfTrue="1" operator="notEqual">
      <formula>$N19</formula>
    </cfRule>
  </conditionalFormatting>
  <conditionalFormatting sqref="N16:O24 R16:R24 W16:X24">
    <cfRule type="expression" dxfId="1134" priority="461" stopIfTrue="1">
      <formula>$C16=1</formula>
    </cfRule>
    <cfRule type="expression" dxfId="1133" priority="462" stopIfTrue="1">
      <formula>OR($C16=0,$C16=2,$C16=3,$C16=4)</formula>
    </cfRule>
  </conditionalFormatting>
  <conditionalFormatting sqref="U16:V24">
    <cfRule type="expression" dxfId="1132" priority="463" stopIfTrue="1">
      <formula>$C16=1</formula>
    </cfRule>
    <cfRule type="expression" dxfId="1131" priority="464" stopIfTrue="1">
      <formula>OR($C16=0,$C16=2,$C16=3,$C16=4)</formula>
    </cfRule>
    <cfRule type="expression" dxfId="1130" priority="465" stopIfTrue="1">
      <formula>AND(TIPOORCAMENTO="Licitado",$C16&lt;&gt;"L",$C16&lt;&gt;-1)</formula>
    </cfRule>
  </conditionalFormatting>
  <conditionalFormatting sqref="P16:Q24 S16:T24 Y16:Y24 AG16:AH24">
    <cfRule type="expression" dxfId="1129" priority="466" stopIfTrue="1">
      <formula>$C16=1</formula>
    </cfRule>
    <cfRule type="expression" dxfId="1128" priority="467" stopIfTrue="1">
      <formula>OR($C16=0,$C16=2,$C16=3,$C16=4)</formula>
    </cfRule>
  </conditionalFormatting>
  <conditionalFormatting sqref="AJ16:AJ24">
    <cfRule type="expression" dxfId="1127" priority="468" stopIfTrue="1">
      <formula>OR(ACOMPANHAMENTO&lt;&gt;"BM",TIPOORCAMENTO="Licitado")</formula>
    </cfRule>
    <cfRule type="expression" dxfId="1126" priority="469" stopIfTrue="1">
      <formula>$C16=1</formula>
    </cfRule>
    <cfRule type="expression" dxfId="1125" priority="470" stopIfTrue="1">
      <formula>OR(AND(ISNUMBER($C16),$C16=0),$C16=2,$C16=3,$C16=4)</formula>
    </cfRule>
  </conditionalFormatting>
  <conditionalFormatting sqref="AL16:AL24">
    <cfRule type="expression" dxfId="1124" priority="471" stopIfTrue="1">
      <formula>TIPOORCAMENTO="PROPOSTO"</formula>
    </cfRule>
    <cfRule type="expression" dxfId="1123" priority="472" stopIfTrue="1">
      <formula>$C16=1</formula>
    </cfRule>
    <cfRule type="expression" dxfId="1122" priority="473" stopIfTrue="1">
      <formula>OR(AND(ISNUMBER($C16),$C16=0),$C16=2,$C16=3,$C16=4)</formula>
    </cfRule>
  </conditionalFormatting>
  <conditionalFormatting sqref="AM16:AN24">
    <cfRule type="expression" dxfId="1121" priority="474" stopIfTrue="1">
      <formula>TIPOORCAMENTO="PROPOSTO"</formula>
    </cfRule>
    <cfRule type="expression" dxfId="1120" priority="475" stopIfTrue="1">
      <formula>$C16=1</formula>
    </cfRule>
    <cfRule type="expression" dxfId="1119" priority="476" stopIfTrue="1">
      <formula>OR(AND(ISNUMBER($C16),$C16=0),$C16=2,$C16=3,$C16=4)</formula>
    </cfRule>
  </conditionalFormatting>
  <conditionalFormatting sqref="M25:M33">
    <cfRule type="cellIs" dxfId="1118" priority="443" stopIfTrue="1" operator="notEqual">
      <formula>$N25</formula>
    </cfRule>
  </conditionalFormatting>
  <conditionalFormatting sqref="N25:O33 W25:X33 R25:R33">
    <cfRule type="expression" dxfId="1117" priority="444" stopIfTrue="1">
      <formula>$C25=1</formula>
    </cfRule>
    <cfRule type="expression" dxfId="1116" priority="445" stopIfTrue="1">
      <formula>OR($C25=0,$C25=2,$C25=3,$C25=4)</formula>
    </cfRule>
  </conditionalFormatting>
  <conditionalFormatting sqref="U25:V33">
    <cfRule type="expression" dxfId="1115" priority="446" stopIfTrue="1">
      <formula>$C25=1</formula>
    </cfRule>
    <cfRule type="expression" dxfId="1114" priority="447" stopIfTrue="1">
      <formula>OR($C25=0,$C25=2,$C25=3,$C25=4)</formula>
    </cfRule>
    <cfRule type="expression" dxfId="1113" priority="448" stopIfTrue="1">
      <formula>AND(TIPOORCAMENTO="Licitado",$C25&lt;&gt;"L",$C25&lt;&gt;-1)</formula>
    </cfRule>
  </conditionalFormatting>
  <conditionalFormatting sqref="P25:Q33 S25:T33 Y25:Y33 AG25:AH33">
    <cfRule type="expression" dxfId="1112" priority="449" stopIfTrue="1">
      <formula>$C25=1</formula>
    </cfRule>
    <cfRule type="expression" dxfId="1111" priority="450" stopIfTrue="1">
      <formula>OR($C25=0,$C25=2,$C25=3,$C25=4)</formula>
    </cfRule>
  </conditionalFormatting>
  <conditionalFormatting sqref="AJ25:AJ33">
    <cfRule type="expression" dxfId="1110" priority="451" stopIfTrue="1">
      <formula>OR(ACOMPANHAMENTO&lt;&gt;"BM",TIPOORCAMENTO="Licitado")</formula>
    </cfRule>
    <cfRule type="expression" dxfId="1109" priority="452" stopIfTrue="1">
      <formula>$C25=1</formula>
    </cfRule>
    <cfRule type="expression" dxfId="1108" priority="453" stopIfTrue="1">
      <formula>OR(AND(ISNUMBER($C25),$C25=0),$C25=2,$C25=3,$C25=4)</formula>
    </cfRule>
  </conditionalFormatting>
  <conditionalFormatting sqref="AL25:AL33">
    <cfRule type="expression" dxfId="1107" priority="454" stopIfTrue="1">
      <formula>TIPOORCAMENTO="PROPOSTO"</formula>
    </cfRule>
    <cfRule type="expression" dxfId="1106" priority="455" stopIfTrue="1">
      <formula>$C25=1</formula>
    </cfRule>
    <cfRule type="expression" dxfId="1105" priority="456" stopIfTrue="1">
      <formula>OR(AND(ISNUMBER($C25),$C25=0),$C25=2,$C25=3,$C25=4)</formula>
    </cfRule>
  </conditionalFormatting>
  <conditionalFormatting sqref="AM25:AN33">
    <cfRule type="expression" dxfId="1104" priority="457" stopIfTrue="1">
      <formula>TIPOORCAMENTO="PROPOSTO"</formula>
    </cfRule>
    <cfRule type="expression" dxfId="1103" priority="458" stopIfTrue="1">
      <formula>$C25=1</formula>
    </cfRule>
    <cfRule type="expression" dxfId="1102" priority="459" stopIfTrue="1">
      <formula>OR(AND(ISNUMBER($C25),$C25=0),$C25=2,$C25=3,$C25=4)</formula>
    </cfRule>
  </conditionalFormatting>
  <conditionalFormatting sqref="M34:M42">
    <cfRule type="cellIs" dxfId="1101" priority="426" stopIfTrue="1" operator="notEqual">
      <formula>$N34</formula>
    </cfRule>
  </conditionalFormatting>
  <conditionalFormatting sqref="N34:O42 R34:R42 W34:X42">
    <cfRule type="expression" dxfId="1100" priority="427" stopIfTrue="1">
      <formula>$C34=1</formula>
    </cfRule>
    <cfRule type="expression" dxfId="1099" priority="428" stopIfTrue="1">
      <formula>OR($C34=0,$C34=2,$C34=3,$C34=4)</formula>
    </cfRule>
  </conditionalFormatting>
  <conditionalFormatting sqref="U34:V42">
    <cfRule type="expression" dxfId="1098" priority="429" stopIfTrue="1">
      <formula>$C34=1</formula>
    </cfRule>
    <cfRule type="expression" dxfId="1097" priority="430" stopIfTrue="1">
      <formula>OR($C34=0,$C34=2,$C34=3,$C34=4)</formula>
    </cfRule>
    <cfRule type="expression" dxfId="1096" priority="431" stopIfTrue="1">
      <formula>AND(TIPOORCAMENTO="Licitado",$C34&lt;&gt;"L",$C34&lt;&gt;-1)</formula>
    </cfRule>
  </conditionalFormatting>
  <conditionalFormatting sqref="P34:Q42 S34:T42 Y34:Y42 AG34:AH42">
    <cfRule type="expression" dxfId="1095" priority="432" stopIfTrue="1">
      <formula>$C34=1</formula>
    </cfRule>
    <cfRule type="expression" dxfId="1094" priority="433" stopIfTrue="1">
      <formula>OR($C34=0,$C34=2,$C34=3,$C34=4)</formula>
    </cfRule>
  </conditionalFormatting>
  <conditionalFormatting sqref="AJ34:AJ42">
    <cfRule type="expression" dxfId="1093" priority="434" stopIfTrue="1">
      <formula>OR(ACOMPANHAMENTO&lt;&gt;"BM",TIPOORCAMENTO="Licitado")</formula>
    </cfRule>
    <cfRule type="expression" dxfId="1092" priority="435" stopIfTrue="1">
      <formula>$C34=1</formula>
    </cfRule>
    <cfRule type="expression" dxfId="1091" priority="436" stopIfTrue="1">
      <formula>OR(AND(ISNUMBER($C34),$C34=0),$C34=2,$C34=3,$C34=4)</formula>
    </cfRule>
  </conditionalFormatting>
  <conditionalFormatting sqref="AL34:AL42">
    <cfRule type="expression" dxfId="1090" priority="437" stopIfTrue="1">
      <formula>TIPOORCAMENTO="PROPOSTO"</formula>
    </cfRule>
    <cfRule type="expression" dxfId="1089" priority="438" stopIfTrue="1">
      <formula>$C34=1</formula>
    </cfRule>
    <cfRule type="expression" dxfId="1088" priority="439" stopIfTrue="1">
      <formula>OR(AND(ISNUMBER($C34),$C34=0),$C34=2,$C34=3,$C34=4)</formula>
    </cfRule>
  </conditionalFormatting>
  <conditionalFormatting sqref="AM34:AN42">
    <cfRule type="expression" dxfId="1087" priority="440" stopIfTrue="1">
      <formula>TIPOORCAMENTO="PROPOSTO"</formula>
    </cfRule>
    <cfRule type="expression" dxfId="1086" priority="441" stopIfTrue="1">
      <formula>$C34=1</formula>
    </cfRule>
    <cfRule type="expression" dxfId="1085" priority="442" stopIfTrue="1">
      <formula>OR(AND(ISNUMBER($C34),$C34=0),$C34=2,$C34=3,$C34=4)</formula>
    </cfRule>
  </conditionalFormatting>
  <conditionalFormatting sqref="M43:M51">
    <cfRule type="cellIs" dxfId="1084" priority="409" stopIfTrue="1" operator="notEqual">
      <formula>$N43</formula>
    </cfRule>
  </conditionalFormatting>
  <conditionalFormatting sqref="N43:O51 R43:R51 W43:X51">
    <cfRule type="expression" dxfId="1083" priority="410" stopIfTrue="1">
      <formula>$C43=1</formula>
    </cfRule>
    <cfRule type="expression" dxfId="1082" priority="411" stopIfTrue="1">
      <formula>OR($C43=0,$C43=2,$C43=3,$C43=4)</formula>
    </cfRule>
  </conditionalFormatting>
  <conditionalFormatting sqref="U43:V51">
    <cfRule type="expression" dxfId="1081" priority="412" stopIfTrue="1">
      <formula>$C43=1</formula>
    </cfRule>
    <cfRule type="expression" dxfId="1080" priority="413" stopIfTrue="1">
      <formula>OR($C43=0,$C43=2,$C43=3,$C43=4)</formula>
    </cfRule>
    <cfRule type="expression" dxfId="1079" priority="414" stopIfTrue="1">
      <formula>AND(TIPOORCAMENTO="Licitado",$C43&lt;&gt;"L",$C43&lt;&gt;-1)</formula>
    </cfRule>
  </conditionalFormatting>
  <conditionalFormatting sqref="P43:Q51 S43:T51 Y43:Y51 AG43:AH51">
    <cfRule type="expression" dxfId="1078" priority="415" stopIfTrue="1">
      <formula>$C43=1</formula>
    </cfRule>
    <cfRule type="expression" dxfId="1077" priority="416" stopIfTrue="1">
      <formula>OR($C43=0,$C43=2,$C43=3,$C43=4)</formula>
    </cfRule>
  </conditionalFormatting>
  <conditionalFormatting sqref="AJ43:AJ51">
    <cfRule type="expression" dxfId="1076" priority="417" stopIfTrue="1">
      <formula>OR(ACOMPANHAMENTO&lt;&gt;"BM",TIPOORCAMENTO="Licitado")</formula>
    </cfRule>
    <cfRule type="expression" dxfId="1075" priority="418" stopIfTrue="1">
      <formula>$C43=1</formula>
    </cfRule>
    <cfRule type="expression" dxfId="1074" priority="419" stopIfTrue="1">
      <formula>OR(AND(ISNUMBER($C43),$C43=0),$C43=2,$C43=3,$C43=4)</formula>
    </cfRule>
  </conditionalFormatting>
  <conditionalFormatting sqref="AL43:AL51">
    <cfRule type="expression" dxfId="1073" priority="420" stopIfTrue="1">
      <formula>TIPOORCAMENTO="PROPOSTO"</formula>
    </cfRule>
    <cfRule type="expression" dxfId="1072" priority="421" stopIfTrue="1">
      <formula>$C43=1</formula>
    </cfRule>
    <cfRule type="expression" dxfId="1071" priority="422" stopIfTrue="1">
      <formula>OR(AND(ISNUMBER($C43),$C43=0),$C43=2,$C43=3,$C43=4)</formula>
    </cfRule>
  </conditionalFormatting>
  <conditionalFormatting sqref="AM43:AN51">
    <cfRule type="expression" dxfId="1070" priority="423" stopIfTrue="1">
      <formula>TIPOORCAMENTO="PROPOSTO"</formula>
    </cfRule>
    <cfRule type="expression" dxfId="1069" priority="424" stopIfTrue="1">
      <formula>$C43=1</formula>
    </cfRule>
    <cfRule type="expression" dxfId="1068" priority="425" stopIfTrue="1">
      <formula>OR(AND(ISNUMBER($C43),$C43=0),$C43=2,$C43=3,$C43=4)</formula>
    </cfRule>
  </conditionalFormatting>
  <conditionalFormatting sqref="M52:M60">
    <cfRule type="cellIs" dxfId="1067" priority="392" stopIfTrue="1" operator="notEqual">
      <formula>$N52</formula>
    </cfRule>
  </conditionalFormatting>
  <conditionalFormatting sqref="N52:O60 R52:R60 W52:X60">
    <cfRule type="expression" dxfId="1066" priority="393" stopIfTrue="1">
      <formula>$C52=1</formula>
    </cfRule>
    <cfRule type="expression" dxfId="1065" priority="394" stopIfTrue="1">
      <formula>OR($C52=0,$C52=2,$C52=3,$C52=4)</formula>
    </cfRule>
  </conditionalFormatting>
  <conditionalFormatting sqref="U52:V60">
    <cfRule type="expression" dxfId="1064" priority="395" stopIfTrue="1">
      <formula>$C52=1</formula>
    </cfRule>
    <cfRule type="expression" dxfId="1063" priority="396" stopIfTrue="1">
      <formula>OR($C52=0,$C52=2,$C52=3,$C52=4)</formula>
    </cfRule>
    <cfRule type="expression" dxfId="1062" priority="397" stopIfTrue="1">
      <formula>AND(TIPOORCAMENTO="Licitado",$C52&lt;&gt;"L",$C52&lt;&gt;-1)</formula>
    </cfRule>
  </conditionalFormatting>
  <conditionalFormatting sqref="P52:Q60 S52:T60 Y52:Y60 AG52:AH60">
    <cfRule type="expression" dxfId="1061" priority="398" stopIfTrue="1">
      <formula>$C52=1</formula>
    </cfRule>
    <cfRule type="expression" dxfId="1060" priority="399" stopIfTrue="1">
      <formula>OR($C52=0,$C52=2,$C52=3,$C52=4)</formula>
    </cfRule>
  </conditionalFormatting>
  <conditionalFormatting sqref="AJ52:AJ60">
    <cfRule type="expression" dxfId="1059" priority="400" stopIfTrue="1">
      <formula>OR(ACOMPANHAMENTO&lt;&gt;"BM",TIPOORCAMENTO="Licitado")</formula>
    </cfRule>
    <cfRule type="expression" dxfId="1058" priority="401" stopIfTrue="1">
      <formula>$C52=1</formula>
    </cfRule>
    <cfRule type="expression" dxfId="1057" priority="402" stopIfTrue="1">
      <formula>OR(AND(ISNUMBER($C52),$C52=0),$C52=2,$C52=3,$C52=4)</formula>
    </cfRule>
  </conditionalFormatting>
  <conditionalFormatting sqref="AL52:AL60">
    <cfRule type="expression" dxfId="1056" priority="403" stopIfTrue="1">
      <formula>TIPOORCAMENTO="PROPOSTO"</formula>
    </cfRule>
    <cfRule type="expression" dxfId="1055" priority="404" stopIfTrue="1">
      <formula>$C52=1</formula>
    </cfRule>
    <cfRule type="expression" dxfId="1054" priority="405" stopIfTrue="1">
      <formula>OR(AND(ISNUMBER($C52),$C52=0),$C52=2,$C52=3,$C52=4)</formula>
    </cfRule>
  </conditionalFormatting>
  <conditionalFormatting sqref="AM52:AN60">
    <cfRule type="expression" dxfId="1053" priority="406" stopIfTrue="1">
      <formula>TIPOORCAMENTO="PROPOSTO"</formula>
    </cfRule>
    <cfRule type="expression" dxfId="1052" priority="407" stopIfTrue="1">
      <formula>$C52=1</formula>
    </cfRule>
    <cfRule type="expression" dxfId="1051" priority="408" stopIfTrue="1">
      <formula>OR(AND(ISNUMBER($C52),$C52=0),$C52=2,$C52=3,$C52=4)</formula>
    </cfRule>
  </conditionalFormatting>
  <conditionalFormatting sqref="M61:M69">
    <cfRule type="cellIs" dxfId="1050" priority="375" stopIfTrue="1" operator="notEqual">
      <formula>$N61</formula>
    </cfRule>
  </conditionalFormatting>
  <conditionalFormatting sqref="N61:O69 R61:R69 W61:X69">
    <cfRule type="expression" dxfId="1049" priority="376" stopIfTrue="1">
      <formula>$C61=1</formula>
    </cfRule>
    <cfRule type="expression" dxfId="1048" priority="377" stopIfTrue="1">
      <formula>OR($C61=0,$C61=2,$C61=3,$C61=4)</formula>
    </cfRule>
  </conditionalFormatting>
  <conditionalFormatting sqref="U61:V69">
    <cfRule type="expression" dxfId="1047" priority="378" stopIfTrue="1">
      <formula>$C61=1</formula>
    </cfRule>
    <cfRule type="expression" dxfId="1046" priority="379" stopIfTrue="1">
      <formula>OR($C61=0,$C61=2,$C61=3,$C61=4)</formula>
    </cfRule>
    <cfRule type="expression" dxfId="1045" priority="380" stopIfTrue="1">
      <formula>AND(TIPOORCAMENTO="Licitado",$C61&lt;&gt;"L",$C61&lt;&gt;-1)</formula>
    </cfRule>
  </conditionalFormatting>
  <conditionalFormatting sqref="P61:Q69 S61:T69 Y61:Y69 AG61:AH69">
    <cfRule type="expression" dxfId="1044" priority="381" stopIfTrue="1">
      <formula>$C61=1</formula>
    </cfRule>
    <cfRule type="expression" dxfId="1043" priority="382" stopIfTrue="1">
      <formula>OR($C61=0,$C61=2,$C61=3,$C61=4)</formula>
    </cfRule>
  </conditionalFormatting>
  <conditionalFormatting sqref="AJ61:AJ69">
    <cfRule type="expression" dxfId="1042" priority="383" stopIfTrue="1">
      <formula>OR(ACOMPANHAMENTO&lt;&gt;"BM",TIPOORCAMENTO="Licitado")</formula>
    </cfRule>
    <cfRule type="expression" dxfId="1041" priority="384" stopIfTrue="1">
      <formula>$C61=1</formula>
    </cfRule>
    <cfRule type="expression" dxfId="1040" priority="385" stopIfTrue="1">
      <formula>OR(AND(ISNUMBER($C61),$C61=0),$C61=2,$C61=3,$C61=4)</formula>
    </cfRule>
  </conditionalFormatting>
  <conditionalFormatting sqref="AL61:AL69">
    <cfRule type="expression" dxfId="1039" priority="386" stopIfTrue="1">
      <formula>TIPOORCAMENTO="PROPOSTO"</formula>
    </cfRule>
    <cfRule type="expression" dxfId="1038" priority="387" stopIfTrue="1">
      <formula>$C61=1</formula>
    </cfRule>
    <cfRule type="expression" dxfId="1037" priority="388" stopIfTrue="1">
      <formula>OR(AND(ISNUMBER($C61),$C61=0),$C61=2,$C61=3,$C61=4)</formula>
    </cfRule>
  </conditionalFormatting>
  <conditionalFormatting sqref="AM61:AN69">
    <cfRule type="expression" dxfId="1036" priority="389" stopIfTrue="1">
      <formula>TIPOORCAMENTO="PROPOSTO"</formula>
    </cfRule>
    <cfRule type="expression" dxfId="1035" priority="390" stopIfTrue="1">
      <formula>$C61=1</formula>
    </cfRule>
    <cfRule type="expression" dxfId="1034" priority="391" stopIfTrue="1">
      <formula>OR(AND(ISNUMBER($C61),$C61=0),$C61=2,$C61=3,$C61=4)</formula>
    </cfRule>
  </conditionalFormatting>
  <conditionalFormatting sqref="M70:M78">
    <cfRule type="cellIs" dxfId="1033" priority="358" stopIfTrue="1" operator="notEqual">
      <formula>$N70</formula>
    </cfRule>
  </conditionalFormatting>
  <conditionalFormatting sqref="N70:O78 R70:R78 W70:X78">
    <cfRule type="expression" dxfId="1032" priority="359" stopIfTrue="1">
      <formula>$C70=1</formula>
    </cfRule>
    <cfRule type="expression" dxfId="1031" priority="360" stopIfTrue="1">
      <formula>OR($C70=0,$C70=2,$C70=3,$C70=4)</formula>
    </cfRule>
  </conditionalFormatting>
  <conditionalFormatting sqref="U70:V78">
    <cfRule type="expression" dxfId="1030" priority="361" stopIfTrue="1">
      <formula>$C70=1</formula>
    </cfRule>
    <cfRule type="expression" dxfId="1029" priority="362" stopIfTrue="1">
      <formula>OR($C70=0,$C70=2,$C70=3,$C70=4)</formula>
    </cfRule>
    <cfRule type="expression" dxfId="1028" priority="363" stopIfTrue="1">
      <formula>AND(TIPOORCAMENTO="Licitado",$C70&lt;&gt;"L",$C70&lt;&gt;-1)</formula>
    </cfRule>
  </conditionalFormatting>
  <conditionalFormatting sqref="P70:Q78 S70:T78 Y70:Y78 AG70:AH78">
    <cfRule type="expression" dxfId="1027" priority="364" stopIfTrue="1">
      <formula>$C70=1</formula>
    </cfRule>
    <cfRule type="expression" dxfId="1026" priority="365" stopIfTrue="1">
      <formula>OR($C70=0,$C70=2,$C70=3,$C70=4)</formula>
    </cfRule>
  </conditionalFormatting>
  <conditionalFormatting sqref="AJ70:AJ78">
    <cfRule type="expression" dxfId="1025" priority="366" stopIfTrue="1">
      <formula>OR(ACOMPANHAMENTO&lt;&gt;"BM",TIPOORCAMENTO="Licitado")</formula>
    </cfRule>
    <cfRule type="expression" dxfId="1024" priority="367" stopIfTrue="1">
      <formula>$C70=1</formula>
    </cfRule>
    <cfRule type="expression" dxfId="1023" priority="368" stopIfTrue="1">
      <formula>OR(AND(ISNUMBER($C70),$C70=0),$C70=2,$C70=3,$C70=4)</formula>
    </cfRule>
  </conditionalFormatting>
  <conditionalFormatting sqref="AL70:AL78">
    <cfRule type="expression" dxfId="1022" priority="369" stopIfTrue="1">
      <formula>TIPOORCAMENTO="PROPOSTO"</formula>
    </cfRule>
    <cfRule type="expression" dxfId="1021" priority="370" stopIfTrue="1">
      <formula>$C70=1</formula>
    </cfRule>
    <cfRule type="expression" dxfId="1020" priority="371" stopIfTrue="1">
      <formula>OR(AND(ISNUMBER($C70),$C70=0),$C70=2,$C70=3,$C70=4)</formula>
    </cfRule>
  </conditionalFormatting>
  <conditionalFormatting sqref="AM70:AN78">
    <cfRule type="expression" dxfId="1019" priority="372" stopIfTrue="1">
      <formula>TIPOORCAMENTO="PROPOSTO"</formula>
    </cfRule>
    <cfRule type="expression" dxfId="1018" priority="373" stopIfTrue="1">
      <formula>$C70=1</formula>
    </cfRule>
    <cfRule type="expression" dxfId="1017" priority="374" stopIfTrue="1">
      <formula>OR(AND(ISNUMBER($C70),$C70=0),$C70=2,$C70=3,$C70=4)</formula>
    </cfRule>
  </conditionalFormatting>
  <conditionalFormatting sqref="M79:M87">
    <cfRule type="cellIs" dxfId="1016" priority="341" stopIfTrue="1" operator="notEqual">
      <formula>$N79</formula>
    </cfRule>
  </conditionalFormatting>
  <conditionalFormatting sqref="N79:O87 R79:R87 W79:X87">
    <cfRule type="expression" dxfId="1015" priority="342" stopIfTrue="1">
      <formula>$C79=1</formula>
    </cfRule>
    <cfRule type="expression" dxfId="1014" priority="343" stopIfTrue="1">
      <formula>OR($C79=0,$C79=2,$C79=3,$C79=4)</formula>
    </cfRule>
  </conditionalFormatting>
  <conditionalFormatting sqref="U79:V87">
    <cfRule type="expression" dxfId="1013" priority="344" stopIfTrue="1">
      <formula>$C79=1</formula>
    </cfRule>
    <cfRule type="expression" dxfId="1012" priority="345" stopIfTrue="1">
      <formula>OR($C79=0,$C79=2,$C79=3,$C79=4)</formula>
    </cfRule>
    <cfRule type="expression" dxfId="1011" priority="346" stopIfTrue="1">
      <formula>AND(TIPOORCAMENTO="Licitado",$C79&lt;&gt;"L",$C79&lt;&gt;-1)</formula>
    </cfRule>
  </conditionalFormatting>
  <conditionalFormatting sqref="P79:Q87 S79:T87 Y79:Y87 AG79:AH87">
    <cfRule type="expression" dxfId="1010" priority="347" stopIfTrue="1">
      <formula>$C79=1</formula>
    </cfRule>
    <cfRule type="expression" dxfId="1009" priority="348" stopIfTrue="1">
      <formula>OR($C79=0,$C79=2,$C79=3,$C79=4)</formula>
    </cfRule>
  </conditionalFormatting>
  <conditionalFormatting sqref="AJ79:AJ87">
    <cfRule type="expression" dxfId="1008" priority="349" stopIfTrue="1">
      <formula>OR(ACOMPANHAMENTO&lt;&gt;"BM",TIPOORCAMENTO="Licitado")</formula>
    </cfRule>
    <cfRule type="expression" dxfId="1007" priority="350" stopIfTrue="1">
      <formula>$C79=1</formula>
    </cfRule>
    <cfRule type="expression" dxfId="1006" priority="351" stopIfTrue="1">
      <formula>OR(AND(ISNUMBER($C79),$C79=0),$C79=2,$C79=3,$C79=4)</formula>
    </cfRule>
  </conditionalFormatting>
  <conditionalFormatting sqref="AL79:AL87">
    <cfRule type="expression" dxfId="1005" priority="352" stopIfTrue="1">
      <formula>TIPOORCAMENTO="PROPOSTO"</formula>
    </cfRule>
    <cfRule type="expression" dxfId="1004" priority="353" stopIfTrue="1">
      <formula>$C79=1</formula>
    </cfRule>
    <cfRule type="expression" dxfId="1003" priority="354" stopIfTrue="1">
      <formula>OR(AND(ISNUMBER($C79),$C79=0),$C79=2,$C79=3,$C79=4)</formula>
    </cfRule>
  </conditionalFormatting>
  <conditionalFormatting sqref="AM79:AN87">
    <cfRule type="expression" dxfId="1002" priority="355" stopIfTrue="1">
      <formula>TIPOORCAMENTO="PROPOSTO"</formula>
    </cfRule>
    <cfRule type="expression" dxfId="1001" priority="356" stopIfTrue="1">
      <formula>$C79=1</formula>
    </cfRule>
    <cfRule type="expression" dxfId="1000" priority="357" stopIfTrue="1">
      <formula>OR(AND(ISNUMBER($C79),$C79=0),$C79=2,$C79=3,$C79=4)</formula>
    </cfRule>
  </conditionalFormatting>
  <conditionalFormatting sqref="M88:M96">
    <cfRule type="cellIs" dxfId="999" priority="324" stopIfTrue="1" operator="notEqual">
      <formula>$N88</formula>
    </cfRule>
  </conditionalFormatting>
  <conditionalFormatting sqref="N88:O96 R88:R96 W88:X96">
    <cfRule type="expression" dxfId="998" priority="325" stopIfTrue="1">
      <formula>$C88=1</formula>
    </cfRule>
    <cfRule type="expression" dxfId="997" priority="326" stopIfTrue="1">
      <formula>OR($C88=0,$C88=2,$C88=3,$C88=4)</formula>
    </cfRule>
  </conditionalFormatting>
  <conditionalFormatting sqref="U88:V96">
    <cfRule type="expression" dxfId="996" priority="327" stopIfTrue="1">
      <formula>$C88=1</formula>
    </cfRule>
    <cfRule type="expression" dxfId="995" priority="328" stopIfTrue="1">
      <formula>OR($C88=0,$C88=2,$C88=3,$C88=4)</formula>
    </cfRule>
    <cfRule type="expression" dxfId="994" priority="329" stopIfTrue="1">
      <formula>AND(TIPOORCAMENTO="Licitado",$C88&lt;&gt;"L",$C88&lt;&gt;-1)</formula>
    </cfRule>
  </conditionalFormatting>
  <conditionalFormatting sqref="P88:Q96 S88:T96 Y88:Y96 AG88:AH96">
    <cfRule type="expression" dxfId="993" priority="330" stopIfTrue="1">
      <formula>$C88=1</formula>
    </cfRule>
    <cfRule type="expression" dxfId="992" priority="331" stopIfTrue="1">
      <formula>OR($C88=0,$C88=2,$C88=3,$C88=4)</formula>
    </cfRule>
  </conditionalFormatting>
  <conditionalFormatting sqref="AJ88:AJ96">
    <cfRule type="expression" dxfId="991" priority="332" stopIfTrue="1">
      <formula>OR(ACOMPANHAMENTO&lt;&gt;"BM",TIPOORCAMENTO="Licitado")</formula>
    </cfRule>
    <cfRule type="expression" dxfId="990" priority="333" stopIfTrue="1">
      <formula>$C88=1</formula>
    </cfRule>
    <cfRule type="expression" dxfId="989" priority="334" stopIfTrue="1">
      <formula>OR(AND(ISNUMBER($C88),$C88=0),$C88=2,$C88=3,$C88=4)</formula>
    </cfRule>
  </conditionalFormatting>
  <conditionalFormatting sqref="AL88:AL96">
    <cfRule type="expression" dxfId="988" priority="335" stopIfTrue="1">
      <formula>TIPOORCAMENTO="PROPOSTO"</formula>
    </cfRule>
    <cfRule type="expression" dxfId="987" priority="336" stopIfTrue="1">
      <formula>$C88=1</formula>
    </cfRule>
    <cfRule type="expression" dxfId="986" priority="337" stopIfTrue="1">
      <formula>OR(AND(ISNUMBER($C88),$C88=0),$C88=2,$C88=3,$C88=4)</formula>
    </cfRule>
  </conditionalFormatting>
  <conditionalFormatting sqref="AM88:AN96">
    <cfRule type="expression" dxfId="985" priority="338" stopIfTrue="1">
      <formula>TIPOORCAMENTO="PROPOSTO"</formula>
    </cfRule>
    <cfRule type="expression" dxfId="984" priority="339" stopIfTrue="1">
      <formula>$C88=1</formula>
    </cfRule>
    <cfRule type="expression" dxfId="983" priority="340" stopIfTrue="1">
      <formula>OR(AND(ISNUMBER($C88),$C88=0),$C88=2,$C88=3,$C88=4)</formula>
    </cfRule>
  </conditionalFormatting>
  <conditionalFormatting sqref="M97:M105">
    <cfRule type="cellIs" dxfId="982" priority="307" stopIfTrue="1" operator="notEqual">
      <formula>$N97</formula>
    </cfRule>
  </conditionalFormatting>
  <conditionalFormatting sqref="N97:O105 R97:R105 W97:X105">
    <cfRule type="expression" dxfId="981" priority="308" stopIfTrue="1">
      <formula>$C97=1</formula>
    </cfRule>
    <cfRule type="expression" dxfId="980" priority="309" stopIfTrue="1">
      <formula>OR($C97=0,$C97=2,$C97=3,$C97=4)</formula>
    </cfRule>
  </conditionalFormatting>
  <conditionalFormatting sqref="U97:V105">
    <cfRule type="expression" dxfId="979" priority="310" stopIfTrue="1">
      <formula>$C97=1</formula>
    </cfRule>
    <cfRule type="expression" dxfId="978" priority="311" stopIfTrue="1">
      <formula>OR($C97=0,$C97=2,$C97=3,$C97=4)</formula>
    </cfRule>
    <cfRule type="expression" dxfId="977" priority="312" stopIfTrue="1">
      <formula>AND(TIPOORCAMENTO="Licitado",$C97&lt;&gt;"L",$C97&lt;&gt;-1)</formula>
    </cfRule>
  </conditionalFormatting>
  <conditionalFormatting sqref="P97:Q105 S97:T105 Y97:Y105 AG97:AH105">
    <cfRule type="expression" dxfId="976" priority="313" stopIfTrue="1">
      <formula>$C97=1</formula>
    </cfRule>
    <cfRule type="expression" dxfId="975" priority="314" stopIfTrue="1">
      <formula>OR($C97=0,$C97=2,$C97=3,$C97=4)</formula>
    </cfRule>
  </conditionalFormatting>
  <conditionalFormatting sqref="AJ97:AJ105">
    <cfRule type="expression" dxfId="974" priority="315" stopIfTrue="1">
      <formula>OR(ACOMPANHAMENTO&lt;&gt;"BM",TIPOORCAMENTO="Licitado")</formula>
    </cfRule>
    <cfRule type="expression" dxfId="973" priority="316" stopIfTrue="1">
      <formula>$C97=1</formula>
    </cfRule>
    <cfRule type="expression" dxfId="972" priority="317" stopIfTrue="1">
      <formula>OR(AND(ISNUMBER($C97),$C97=0),$C97=2,$C97=3,$C97=4)</formula>
    </cfRule>
  </conditionalFormatting>
  <conditionalFormatting sqref="AL97:AL105">
    <cfRule type="expression" dxfId="971" priority="318" stopIfTrue="1">
      <formula>TIPOORCAMENTO="PROPOSTO"</formula>
    </cfRule>
    <cfRule type="expression" dxfId="970" priority="319" stopIfTrue="1">
      <formula>$C97=1</formula>
    </cfRule>
    <cfRule type="expression" dxfId="969" priority="320" stopIfTrue="1">
      <formula>OR(AND(ISNUMBER($C97),$C97=0),$C97=2,$C97=3,$C97=4)</formula>
    </cfRule>
  </conditionalFormatting>
  <conditionalFormatting sqref="AM97:AN105">
    <cfRule type="expression" dxfId="968" priority="321" stopIfTrue="1">
      <formula>TIPOORCAMENTO="PROPOSTO"</formula>
    </cfRule>
    <cfRule type="expression" dxfId="967" priority="322" stopIfTrue="1">
      <formula>$C97=1</formula>
    </cfRule>
    <cfRule type="expression" dxfId="966" priority="323" stopIfTrue="1">
      <formula>OR(AND(ISNUMBER($C97),$C97=0),$C97=2,$C97=3,$C97=4)</formula>
    </cfRule>
  </conditionalFormatting>
  <conditionalFormatting sqref="M106:M114">
    <cfRule type="cellIs" dxfId="965" priority="290" stopIfTrue="1" operator="notEqual">
      <formula>$N106</formula>
    </cfRule>
  </conditionalFormatting>
  <conditionalFormatting sqref="N106:O114 R106:R114 W106:X114">
    <cfRule type="expression" dxfId="964" priority="291" stopIfTrue="1">
      <formula>$C106=1</formula>
    </cfRule>
    <cfRule type="expression" dxfId="963" priority="292" stopIfTrue="1">
      <formula>OR($C106=0,$C106=2,$C106=3,$C106=4)</formula>
    </cfRule>
  </conditionalFormatting>
  <conditionalFormatting sqref="U106:V114">
    <cfRule type="expression" dxfId="962" priority="293" stopIfTrue="1">
      <formula>$C106=1</formula>
    </cfRule>
    <cfRule type="expression" dxfId="961" priority="294" stopIfTrue="1">
      <formula>OR($C106=0,$C106=2,$C106=3,$C106=4)</formula>
    </cfRule>
    <cfRule type="expression" dxfId="960" priority="295" stopIfTrue="1">
      <formula>AND(TIPOORCAMENTO="Licitado",$C106&lt;&gt;"L",$C106&lt;&gt;-1)</formula>
    </cfRule>
  </conditionalFormatting>
  <conditionalFormatting sqref="P106:Q114 S106:T114 Y106:Y114 AG106:AH114">
    <cfRule type="expression" dxfId="959" priority="296" stopIfTrue="1">
      <formula>$C106=1</formula>
    </cfRule>
    <cfRule type="expression" dxfId="958" priority="297" stopIfTrue="1">
      <formula>OR($C106=0,$C106=2,$C106=3,$C106=4)</formula>
    </cfRule>
  </conditionalFormatting>
  <conditionalFormatting sqref="AJ106:AJ114">
    <cfRule type="expression" dxfId="957" priority="298" stopIfTrue="1">
      <formula>OR(ACOMPANHAMENTO&lt;&gt;"BM",TIPOORCAMENTO="Licitado")</formula>
    </cfRule>
    <cfRule type="expression" dxfId="956" priority="299" stopIfTrue="1">
      <formula>$C106=1</formula>
    </cfRule>
    <cfRule type="expression" dxfId="955" priority="300" stopIfTrue="1">
      <formula>OR(AND(ISNUMBER($C106),$C106=0),$C106=2,$C106=3,$C106=4)</formula>
    </cfRule>
  </conditionalFormatting>
  <conditionalFormatting sqref="AL106:AL114">
    <cfRule type="expression" dxfId="954" priority="301" stopIfTrue="1">
      <formula>TIPOORCAMENTO="PROPOSTO"</formula>
    </cfRule>
    <cfRule type="expression" dxfId="953" priority="302" stopIfTrue="1">
      <formula>$C106=1</formula>
    </cfRule>
    <cfRule type="expression" dxfId="952" priority="303" stopIfTrue="1">
      <formula>OR(AND(ISNUMBER($C106),$C106=0),$C106=2,$C106=3,$C106=4)</formula>
    </cfRule>
  </conditionalFormatting>
  <conditionalFormatting sqref="AM106:AN114">
    <cfRule type="expression" dxfId="951" priority="304" stopIfTrue="1">
      <formula>TIPOORCAMENTO="PROPOSTO"</formula>
    </cfRule>
    <cfRule type="expression" dxfId="950" priority="305" stopIfTrue="1">
      <formula>$C106=1</formula>
    </cfRule>
    <cfRule type="expression" dxfId="949" priority="306" stopIfTrue="1">
      <formula>OR(AND(ISNUMBER($C106),$C106=0),$C106=2,$C106=3,$C106=4)</formula>
    </cfRule>
  </conditionalFormatting>
  <conditionalFormatting sqref="M115:M123">
    <cfRule type="cellIs" dxfId="948" priority="273" stopIfTrue="1" operator="notEqual">
      <formula>$N115</formula>
    </cfRule>
  </conditionalFormatting>
  <conditionalFormatting sqref="N115:O123 R115:R123 W115:X123">
    <cfRule type="expression" dxfId="947" priority="274" stopIfTrue="1">
      <formula>$C115=1</formula>
    </cfRule>
    <cfRule type="expression" dxfId="946" priority="275" stopIfTrue="1">
      <formula>OR($C115=0,$C115=2,$C115=3,$C115=4)</formula>
    </cfRule>
  </conditionalFormatting>
  <conditionalFormatting sqref="U115:V123">
    <cfRule type="expression" dxfId="945" priority="276" stopIfTrue="1">
      <formula>$C115=1</formula>
    </cfRule>
    <cfRule type="expression" dxfId="944" priority="277" stopIfTrue="1">
      <formula>OR($C115=0,$C115=2,$C115=3,$C115=4)</formula>
    </cfRule>
    <cfRule type="expression" dxfId="943" priority="278" stopIfTrue="1">
      <formula>AND(TIPOORCAMENTO="Licitado",$C115&lt;&gt;"L",$C115&lt;&gt;-1)</formula>
    </cfRule>
  </conditionalFormatting>
  <conditionalFormatting sqref="P115:Q123 S115:T123 Y115:Y123 AG115:AH123">
    <cfRule type="expression" dxfId="942" priority="279" stopIfTrue="1">
      <formula>$C115=1</formula>
    </cfRule>
    <cfRule type="expression" dxfId="941" priority="280" stopIfTrue="1">
      <formula>OR($C115=0,$C115=2,$C115=3,$C115=4)</formula>
    </cfRule>
  </conditionalFormatting>
  <conditionalFormatting sqref="AJ115:AJ123">
    <cfRule type="expression" dxfId="940" priority="281" stopIfTrue="1">
      <formula>OR(ACOMPANHAMENTO&lt;&gt;"BM",TIPOORCAMENTO="Licitado")</formula>
    </cfRule>
    <cfRule type="expression" dxfId="939" priority="282" stopIfTrue="1">
      <formula>$C115=1</formula>
    </cfRule>
    <cfRule type="expression" dxfId="938" priority="283" stopIfTrue="1">
      <formula>OR(AND(ISNUMBER($C115),$C115=0),$C115=2,$C115=3,$C115=4)</formula>
    </cfRule>
  </conditionalFormatting>
  <conditionalFormatting sqref="AL115:AL123">
    <cfRule type="expression" dxfId="937" priority="284" stopIfTrue="1">
      <formula>TIPOORCAMENTO="PROPOSTO"</formula>
    </cfRule>
    <cfRule type="expression" dxfId="936" priority="285" stopIfTrue="1">
      <formula>$C115=1</formula>
    </cfRule>
    <cfRule type="expression" dxfId="935" priority="286" stopIfTrue="1">
      <formula>OR(AND(ISNUMBER($C115),$C115=0),$C115=2,$C115=3,$C115=4)</formula>
    </cfRule>
  </conditionalFormatting>
  <conditionalFormatting sqref="AM115:AN123">
    <cfRule type="expression" dxfId="934" priority="287" stopIfTrue="1">
      <formula>TIPOORCAMENTO="PROPOSTO"</formula>
    </cfRule>
    <cfRule type="expression" dxfId="933" priority="288" stopIfTrue="1">
      <formula>$C115=1</formula>
    </cfRule>
    <cfRule type="expression" dxfId="932" priority="289" stopIfTrue="1">
      <formula>OR(AND(ISNUMBER($C115),$C115=0),$C115=2,$C115=3,$C115=4)</formula>
    </cfRule>
  </conditionalFormatting>
  <conditionalFormatting sqref="M124:M132">
    <cfRule type="cellIs" dxfId="931" priority="256" stopIfTrue="1" operator="notEqual">
      <formula>$N124</formula>
    </cfRule>
  </conditionalFormatting>
  <conditionalFormatting sqref="N124:O132 R124:R132 W124:X132">
    <cfRule type="expression" dxfId="930" priority="257" stopIfTrue="1">
      <formula>$C124=1</formula>
    </cfRule>
    <cfRule type="expression" dxfId="929" priority="258" stopIfTrue="1">
      <formula>OR($C124=0,$C124=2,$C124=3,$C124=4)</formula>
    </cfRule>
  </conditionalFormatting>
  <conditionalFormatting sqref="U124:V132">
    <cfRule type="expression" dxfId="928" priority="259" stopIfTrue="1">
      <formula>$C124=1</formula>
    </cfRule>
    <cfRule type="expression" dxfId="927" priority="260" stopIfTrue="1">
      <formula>OR($C124=0,$C124=2,$C124=3,$C124=4)</formula>
    </cfRule>
    <cfRule type="expression" dxfId="926" priority="261" stopIfTrue="1">
      <formula>AND(TIPOORCAMENTO="Licitado",$C124&lt;&gt;"L",$C124&lt;&gt;-1)</formula>
    </cfRule>
  </conditionalFormatting>
  <conditionalFormatting sqref="P124:Q132 S124:T132 Y124:Y132 AG124:AH132">
    <cfRule type="expression" dxfId="925" priority="262" stopIfTrue="1">
      <formula>$C124=1</formula>
    </cfRule>
    <cfRule type="expression" dxfId="924" priority="263" stopIfTrue="1">
      <formula>OR($C124=0,$C124=2,$C124=3,$C124=4)</formula>
    </cfRule>
  </conditionalFormatting>
  <conditionalFormatting sqref="AJ124:AJ132">
    <cfRule type="expression" dxfId="923" priority="264" stopIfTrue="1">
      <formula>OR(ACOMPANHAMENTO&lt;&gt;"BM",TIPOORCAMENTO="Licitado")</formula>
    </cfRule>
    <cfRule type="expression" dxfId="922" priority="265" stopIfTrue="1">
      <formula>$C124=1</formula>
    </cfRule>
    <cfRule type="expression" dxfId="921" priority="266" stopIfTrue="1">
      <formula>OR(AND(ISNUMBER($C124),$C124=0),$C124=2,$C124=3,$C124=4)</formula>
    </cfRule>
  </conditionalFormatting>
  <conditionalFormatting sqref="AL124:AL132">
    <cfRule type="expression" dxfId="920" priority="267" stopIfTrue="1">
      <formula>TIPOORCAMENTO="PROPOSTO"</formula>
    </cfRule>
    <cfRule type="expression" dxfId="919" priority="268" stopIfTrue="1">
      <formula>$C124=1</formula>
    </cfRule>
    <cfRule type="expression" dxfId="918" priority="269" stopIfTrue="1">
      <formula>OR(AND(ISNUMBER($C124),$C124=0),$C124=2,$C124=3,$C124=4)</formula>
    </cfRule>
  </conditionalFormatting>
  <conditionalFormatting sqref="AM124:AN132">
    <cfRule type="expression" dxfId="917" priority="270" stopIfTrue="1">
      <formula>TIPOORCAMENTO="PROPOSTO"</formula>
    </cfRule>
    <cfRule type="expression" dxfId="916" priority="271" stopIfTrue="1">
      <formula>$C124=1</formula>
    </cfRule>
    <cfRule type="expression" dxfId="915" priority="272" stopIfTrue="1">
      <formula>OR(AND(ISNUMBER($C124),$C124=0),$C124=2,$C124=3,$C124=4)</formula>
    </cfRule>
  </conditionalFormatting>
  <conditionalFormatting sqref="M133:M141">
    <cfRule type="cellIs" dxfId="914" priority="239" stopIfTrue="1" operator="notEqual">
      <formula>$N133</formula>
    </cfRule>
  </conditionalFormatting>
  <conditionalFormatting sqref="N133:O141 R133:R141 W133:X141">
    <cfRule type="expression" dxfId="913" priority="240" stopIfTrue="1">
      <formula>$C133=1</formula>
    </cfRule>
    <cfRule type="expression" dxfId="912" priority="241" stopIfTrue="1">
      <formula>OR($C133=0,$C133=2,$C133=3,$C133=4)</formula>
    </cfRule>
  </conditionalFormatting>
  <conditionalFormatting sqref="U133:V141">
    <cfRule type="expression" dxfId="911" priority="242" stopIfTrue="1">
      <formula>$C133=1</formula>
    </cfRule>
    <cfRule type="expression" dxfId="910" priority="243" stopIfTrue="1">
      <formula>OR($C133=0,$C133=2,$C133=3,$C133=4)</formula>
    </cfRule>
    <cfRule type="expression" dxfId="909" priority="244" stopIfTrue="1">
      <formula>AND(TIPOORCAMENTO="Licitado",$C133&lt;&gt;"L",$C133&lt;&gt;-1)</formula>
    </cfRule>
  </conditionalFormatting>
  <conditionalFormatting sqref="P133:Q141 S133:T141 Y133:Y141 AG133:AH141">
    <cfRule type="expression" dxfId="908" priority="245" stopIfTrue="1">
      <formula>$C133=1</formula>
    </cfRule>
    <cfRule type="expression" dxfId="907" priority="246" stopIfTrue="1">
      <formula>OR($C133=0,$C133=2,$C133=3,$C133=4)</formula>
    </cfRule>
  </conditionalFormatting>
  <conditionalFormatting sqref="AJ133:AJ141">
    <cfRule type="expression" dxfId="906" priority="247" stopIfTrue="1">
      <formula>OR(ACOMPANHAMENTO&lt;&gt;"BM",TIPOORCAMENTO="Licitado")</formula>
    </cfRule>
    <cfRule type="expression" dxfId="905" priority="248" stopIfTrue="1">
      <formula>$C133=1</formula>
    </cfRule>
    <cfRule type="expression" dxfId="904" priority="249" stopIfTrue="1">
      <formula>OR(AND(ISNUMBER($C133),$C133=0),$C133=2,$C133=3,$C133=4)</formula>
    </cfRule>
  </conditionalFormatting>
  <conditionalFormatting sqref="AL133:AL141">
    <cfRule type="expression" dxfId="903" priority="250" stopIfTrue="1">
      <formula>TIPOORCAMENTO="PROPOSTO"</formula>
    </cfRule>
    <cfRule type="expression" dxfId="902" priority="251" stopIfTrue="1">
      <formula>$C133=1</formula>
    </cfRule>
    <cfRule type="expression" dxfId="901" priority="252" stopIfTrue="1">
      <formula>OR(AND(ISNUMBER($C133),$C133=0),$C133=2,$C133=3,$C133=4)</formula>
    </cfRule>
  </conditionalFormatting>
  <conditionalFormatting sqref="AM133:AN141">
    <cfRule type="expression" dxfId="900" priority="253" stopIfTrue="1">
      <formula>TIPOORCAMENTO="PROPOSTO"</formula>
    </cfRule>
    <cfRule type="expression" dxfId="899" priority="254" stopIfTrue="1">
      <formula>$C133=1</formula>
    </cfRule>
    <cfRule type="expression" dxfId="898" priority="255" stopIfTrue="1">
      <formula>OR(AND(ISNUMBER($C133),$C133=0),$C133=2,$C133=3,$C133=4)</formula>
    </cfRule>
  </conditionalFormatting>
  <conditionalFormatting sqref="M142:M150">
    <cfRule type="cellIs" dxfId="897" priority="222" stopIfTrue="1" operator="notEqual">
      <formula>$N142</formula>
    </cfRule>
  </conditionalFormatting>
  <conditionalFormatting sqref="N142:O150 R142:R150 W142:X150">
    <cfRule type="expression" dxfId="896" priority="223" stopIfTrue="1">
      <formula>$C142=1</formula>
    </cfRule>
    <cfRule type="expression" dxfId="895" priority="224" stopIfTrue="1">
      <formula>OR($C142=0,$C142=2,$C142=3,$C142=4)</formula>
    </cfRule>
  </conditionalFormatting>
  <conditionalFormatting sqref="U142:V150">
    <cfRule type="expression" dxfId="894" priority="225" stopIfTrue="1">
      <formula>$C142=1</formula>
    </cfRule>
    <cfRule type="expression" dxfId="893" priority="226" stopIfTrue="1">
      <formula>OR($C142=0,$C142=2,$C142=3,$C142=4)</formula>
    </cfRule>
    <cfRule type="expression" dxfId="892" priority="227" stopIfTrue="1">
      <formula>AND(TIPOORCAMENTO="Licitado",$C142&lt;&gt;"L",$C142&lt;&gt;-1)</formula>
    </cfRule>
  </conditionalFormatting>
  <conditionalFormatting sqref="P142:Q150 S142:T150 Y142:Y150 AG142:AH150">
    <cfRule type="expression" dxfId="891" priority="228" stopIfTrue="1">
      <formula>$C142=1</formula>
    </cfRule>
    <cfRule type="expression" dxfId="890" priority="229" stopIfTrue="1">
      <formula>OR($C142=0,$C142=2,$C142=3,$C142=4)</formula>
    </cfRule>
  </conditionalFormatting>
  <conditionalFormatting sqref="AJ142:AJ150">
    <cfRule type="expression" dxfId="889" priority="230" stopIfTrue="1">
      <formula>OR(ACOMPANHAMENTO&lt;&gt;"BM",TIPOORCAMENTO="Licitado")</formula>
    </cfRule>
    <cfRule type="expression" dxfId="888" priority="231" stopIfTrue="1">
      <formula>$C142=1</formula>
    </cfRule>
    <cfRule type="expression" dxfId="887" priority="232" stopIfTrue="1">
      <formula>OR(AND(ISNUMBER($C142),$C142=0),$C142=2,$C142=3,$C142=4)</formula>
    </cfRule>
  </conditionalFormatting>
  <conditionalFormatting sqref="AL142:AL150">
    <cfRule type="expression" dxfId="886" priority="233" stopIfTrue="1">
      <formula>TIPOORCAMENTO="PROPOSTO"</formula>
    </cfRule>
    <cfRule type="expression" dxfId="885" priority="234" stopIfTrue="1">
      <formula>$C142=1</formula>
    </cfRule>
    <cfRule type="expression" dxfId="884" priority="235" stopIfTrue="1">
      <formula>OR(AND(ISNUMBER($C142),$C142=0),$C142=2,$C142=3,$C142=4)</formula>
    </cfRule>
  </conditionalFormatting>
  <conditionalFormatting sqref="AM142:AN150">
    <cfRule type="expression" dxfId="883" priority="236" stopIfTrue="1">
      <formula>TIPOORCAMENTO="PROPOSTO"</formula>
    </cfRule>
    <cfRule type="expression" dxfId="882" priority="237" stopIfTrue="1">
      <formula>$C142=1</formula>
    </cfRule>
    <cfRule type="expression" dxfId="881" priority="238" stopIfTrue="1">
      <formula>OR(AND(ISNUMBER($C142),$C142=0),$C142=2,$C142=3,$C142=4)</formula>
    </cfRule>
  </conditionalFormatting>
  <conditionalFormatting sqref="M151:M159">
    <cfRule type="cellIs" dxfId="880" priority="205" stopIfTrue="1" operator="notEqual">
      <formula>$N151</formula>
    </cfRule>
  </conditionalFormatting>
  <conditionalFormatting sqref="N151:O159 R151:R159 W151:X159">
    <cfRule type="expression" dxfId="879" priority="206" stopIfTrue="1">
      <formula>$C151=1</formula>
    </cfRule>
    <cfRule type="expression" dxfId="878" priority="207" stopIfTrue="1">
      <formula>OR($C151=0,$C151=2,$C151=3,$C151=4)</formula>
    </cfRule>
  </conditionalFormatting>
  <conditionalFormatting sqref="U151:V159">
    <cfRule type="expression" dxfId="877" priority="208" stopIfTrue="1">
      <formula>$C151=1</formula>
    </cfRule>
    <cfRule type="expression" dxfId="876" priority="209" stopIfTrue="1">
      <formula>OR($C151=0,$C151=2,$C151=3,$C151=4)</formula>
    </cfRule>
    <cfRule type="expression" dxfId="875" priority="210" stopIfTrue="1">
      <formula>AND(TIPOORCAMENTO="Licitado",$C151&lt;&gt;"L",$C151&lt;&gt;-1)</formula>
    </cfRule>
  </conditionalFormatting>
  <conditionalFormatting sqref="P151:Q159 S151:T159 Y151:Y159 AG151:AH159">
    <cfRule type="expression" dxfId="874" priority="211" stopIfTrue="1">
      <formula>$C151=1</formula>
    </cfRule>
    <cfRule type="expression" dxfId="873" priority="212" stopIfTrue="1">
      <formula>OR($C151=0,$C151=2,$C151=3,$C151=4)</formula>
    </cfRule>
  </conditionalFormatting>
  <conditionalFormatting sqref="AJ151:AJ159">
    <cfRule type="expression" dxfId="872" priority="213" stopIfTrue="1">
      <formula>OR(ACOMPANHAMENTO&lt;&gt;"BM",TIPOORCAMENTO="Licitado")</formula>
    </cfRule>
    <cfRule type="expression" dxfId="871" priority="214" stopIfTrue="1">
      <formula>$C151=1</formula>
    </cfRule>
    <cfRule type="expression" dxfId="870" priority="215" stopIfTrue="1">
      <formula>OR(AND(ISNUMBER($C151),$C151=0),$C151=2,$C151=3,$C151=4)</formula>
    </cfRule>
  </conditionalFormatting>
  <conditionalFormatting sqref="AL151:AL159">
    <cfRule type="expression" dxfId="869" priority="216" stopIfTrue="1">
      <formula>TIPOORCAMENTO="PROPOSTO"</formula>
    </cfRule>
    <cfRule type="expression" dxfId="868" priority="217" stopIfTrue="1">
      <formula>$C151=1</formula>
    </cfRule>
    <cfRule type="expression" dxfId="867" priority="218" stopIfTrue="1">
      <formula>OR(AND(ISNUMBER($C151),$C151=0),$C151=2,$C151=3,$C151=4)</formula>
    </cfRule>
  </conditionalFormatting>
  <conditionalFormatting sqref="AM151:AN159">
    <cfRule type="expression" dxfId="866" priority="219" stopIfTrue="1">
      <formula>TIPOORCAMENTO="PROPOSTO"</formula>
    </cfRule>
    <cfRule type="expression" dxfId="865" priority="220" stopIfTrue="1">
      <formula>$C151=1</formula>
    </cfRule>
    <cfRule type="expression" dxfId="864" priority="221" stopIfTrue="1">
      <formula>OR(AND(ISNUMBER($C151),$C151=0),$C151=2,$C151=3,$C151=4)</formula>
    </cfRule>
  </conditionalFormatting>
  <conditionalFormatting sqref="M160:M168">
    <cfRule type="cellIs" dxfId="863" priority="188" stopIfTrue="1" operator="notEqual">
      <formula>$N160</formula>
    </cfRule>
  </conditionalFormatting>
  <conditionalFormatting sqref="N160:O168 R160:R168 W160:X168">
    <cfRule type="expression" dxfId="862" priority="189" stopIfTrue="1">
      <formula>$C160=1</formula>
    </cfRule>
    <cfRule type="expression" dxfId="861" priority="190" stopIfTrue="1">
      <formula>OR($C160=0,$C160=2,$C160=3,$C160=4)</formula>
    </cfRule>
  </conditionalFormatting>
  <conditionalFormatting sqref="U160:V168">
    <cfRule type="expression" dxfId="860" priority="191" stopIfTrue="1">
      <formula>$C160=1</formula>
    </cfRule>
    <cfRule type="expression" dxfId="859" priority="192" stopIfTrue="1">
      <formula>OR($C160=0,$C160=2,$C160=3,$C160=4)</formula>
    </cfRule>
    <cfRule type="expression" dxfId="858" priority="193" stopIfTrue="1">
      <formula>AND(TIPOORCAMENTO="Licitado",$C160&lt;&gt;"L",$C160&lt;&gt;-1)</formula>
    </cfRule>
  </conditionalFormatting>
  <conditionalFormatting sqref="P160:Q168 S160:T168 Y160:Y168 AG160:AH168">
    <cfRule type="expression" dxfId="857" priority="194" stopIfTrue="1">
      <formula>$C160=1</formula>
    </cfRule>
    <cfRule type="expression" dxfId="856" priority="195" stopIfTrue="1">
      <formula>OR($C160=0,$C160=2,$C160=3,$C160=4)</formula>
    </cfRule>
  </conditionalFormatting>
  <conditionalFormatting sqref="AJ160:AJ168">
    <cfRule type="expression" dxfId="855" priority="196" stopIfTrue="1">
      <formula>OR(ACOMPANHAMENTO&lt;&gt;"BM",TIPOORCAMENTO="Licitado")</formula>
    </cfRule>
    <cfRule type="expression" dxfId="854" priority="197" stopIfTrue="1">
      <formula>$C160=1</formula>
    </cfRule>
    <cfRule type="expression" dxfId="853" priority="198" stopIfTrue="1">
      <formula>OR(AND(ISNUMBER($C160),$C160=0),$C160=2,$C160=3,$C160=4)</formula>
    </cfRule>
  </conditionalFormatting>
  <conditionalFormatting sqref="AL160:AL168">
    <cfRule type="expression" dxfId="852" priority="199" stopIfTrue="1">
      <formula>TIPOORCAMENTO="PROPOSTO"</formula>
    </cfRule>
    <cfRule type="expression" dxfId="851" priority="200" stopIfTrue="1">
      <formula>$C160=1</formula>
    </cfRule>
    <cfRule type="expression" dxfId="850" priority="201" stopIfTrue="1">
      <formula>OR(AND(ISNUMBER($C160),$C160=0),$C160=2,$C160=3,$C160=4)</formula>
    </cfRule>
  </conditionalFormatting>
  <conditionalFormatting sqref="AM160:AN168">
    <cfRule type="expression" dxfId="849" priority="202" stopIfTrue="1">
      <formula>TIPOORCAMENTO="PROPOSTO"</formula>
    </cfRule>
    <cfRule type="expression" dxfId="848" priority="203" stopIfTrue="1">
      <formula>$C160=1</formula>
    </cfRule>
    <cfRule type="expression" dxfId="847" priority="204" stopIfTrue="1">
      <formula>OR(AND(ISNUMBER($C160),$C160=0),$C160=2,$C160=3,$C160=4)</formula>
    </cfRule>
  </conditionalFormatting>
  <conditionalFormatting sqref="M169:M177">
    <cfRule type="cellIs" dxfId="846" priority="171" stopIfTrue="1" operator="notEqual">
      <formula>$N169</formula>
    </cfRule>
  </conditionalFormatting>
  <conditionalFormatting sqref="N169:O177 R169:R177 W169:X177">
    <cfRule type="expression" dxfId="845" priority="172" stopIfTrue="1">
      <formula>$C169=1</formula>
    </cfRule>
    <cfRule type="expression" dxfId="844" priority="173" stopIfTrue="1">
      <formula>OR($C169=0,$C169=2,$C169=3,$C169=4)</formula>
    </cfRule>
  </conditionalFormatting>
  <conditionalFormatting sqref="U169:V177">
    <cfRule type="expression" dxfId="843" priority="174" stopIfTrue="1">
      <formula>$C169=1</formula>
    </cfRule>
    <cfRule type="expression" dxfId="842" priority="175" stopIfTrue="1">
      <formula>OR($C169=0,$C169=2,$C169=3,$C169=4)</formula>
    </cfRule>
    <cfRule type="expression" dxfId="841" priority="176" stopIfTrue="1">
      <formula>AND(TIPOORCAMENTO="Licitado",$C169&lt;&gt;"L",$C169&lt;&gt;-1)</formula>
    </cfRule>
  </conditionalFormatting>
  <conditionalFormatting sqref="P169:Q177 S169:T177 Y169:Y177 AG169:AH177">
    <cfRule type="expression" dxfId="840" priority="177" stopIfTrue="1">
      <formula>$C169=1</formula>
    </cfRule>
    <cfRule type="expression" dxfId="839" priority="178" stopIfTrue="1">
      <formula>OR($C169=0,$C169=2,$C169=3,$C169=4)</formula>
    </cfRule>
  </conditionalFormatting>
  <conditionalFormatting sqref="AJ169:AJ177">
    <cfRule type="expression" dxfId="838" priority="179" stopIfTrue="1">
      <formula>OR(ACOMPANHAMENTO&lt;&gt;"BM",TIPOORCAMENTO="Licitado")</formula>
    </cfRule>
    <cfRule type="expression" dxfId="837" priority="180" stopIfTrue="1">
      <formula>$C169=1</formula>
    </cfRule>
    <cfRule type="expression" dxfId="836" priority="181" stopIfTrue="1">
      <formula>OR(AND(ISNUMBER($C169),$C169=0),$C169=2,$C169=3,$C169=4)</formula>
    </cfRule>
  </conditionalFormatting>
  <conditionalFormatting sqref="AL169:AL177">
    <cfRule type="expression" dxfId="835" priority="182" stopIfTrue="1">
      <formula>TIPOORCAMENTO="PROPOSTO"</formula>
    </cfRule>
    <cfRule type="expression" dxfId="834" priority="183" stopIfTrue="1">
      <formula>$C169=1</formula>
    </cfRule>
    <cfRule type="expression" dxfId="833" priority="184" stopIfTrue="1">
      <formula>OR(AND(ISNUMBER($C169),$C169=0),$C169=2,$C169=3,$C169=4)</formula>
    </cfRule>
  </conditionalFormatting>
  <conditionalFormatting sqref="AM169:AN177">
    <cfRule type="expression" dxfId="832" priority="185" stopIfTrue="1">
      <formula>TIPOORCAMENTO="PROPOSTO"</formula>
    </cfRule>
    <cfRule type="expression" dxfId="831" priority="186" stopIfTrue="1">
      <formula>$C169=1</formula>
    </cfRule>
    <cfRule type="expression" dxfId="830" priority="187" stopIfTrue="1">
      <formula>OR(AND(ISNUMBER($C169),$C169=0),$C169=2,$C169=3,$C169=4)</formula>
    </cfRule>
  </conditionalFormatting>
  <conditionalFormatting sqref="M178:M186">
    <cfRule type="cellIs" dxfId="829" priority="154" stopIfTrue="1" operator="notEqual">
      <formula>$N178</formula>
    </cfRule>
  </conditionalFormatting>
  <conditionalFormatting sqref="N178:O186 R178:R186 W178:X186">
    <cfRule type="expression" dxfId="828" priority="155" stopIfTrue="1">
      <formula>$C178=1</formula>
    </cfRule>
    <cfRule type="expression" dxfId="827" priority="156" stopIfTrue="1">
      <formula>OR($C178=0,$C178=2,$C178=3,$C178=4)</formula>
    </cfRule>
  </conditionalFormatting>
  <conditionalFormatting sqref="U178:V186">
    <cfRule type="expression" dxfId="826" priority="157" stopIfTrue="1">
      <formula>$C178=1</formula>
    </cfRule>
    <cfRule type="expression" dxfId="825" priority="158" stopIfTrue="1">
      <formula>OR($C178=0,$C178=2,$C178=3,$C178=4)</formula>
    </cfRule>
    <cfRule type="expression" dxfId="824" priority="159" stopIfTrue="1">
      <formula>AND(TIPOORCAMENTO="Licitado",$C178&lt;&gt;"L",$C178&lt;&gt;-1)</formula>
    </cfRule>
  </conditionalFormatting>
  <conditionalFormatting sqref="P178:Q186 S178:T186 Y178:Y186 AG178:AH186">
    <cfRule type="expression" dxfId="823" priority="160" stopIfTrue="1">
      <formula>$C178=1</formula>
    </cfRule>
    <cfRule type="expression" dxfId="822" priority="161" stopIfTrue="1">
      <formula>OR($C178=0,$C178=2,$C178=3,$C178=4)</formula>
    </cfRule>
  </conditionalFormatting>
  <conditionalFormatting sqref="AJ178:AJ186">
    <cfRule type="expression" dxfId="821" priority="162" stopIfTrue="1">
      <formula>OR(ACOMPANHAMENTO&lt;&gt;"BM",TIPOORCAMENTO="Licitado")</formula>
    </cfRule>
    <cfRule type="expression" dxfId="820" priority="163" stopIfTrue="1">
      <formula>$C178=1</formula>
    </cfRule>
    <cfRule type="expression" dxfId="819" priority="164" stopIfTrue="1">
      <formula>OR(AND(ISNUMBER($C178),$C178=0),$C178=2,$C178=3,$C178=4)</formula>
    </cfRule>
  </conditionalFormatting>
  <conditionalFormatting sqref="AL178:AL186">
    <cfRule type="expression" dxfId="818" priority="165" stopIfTrue="1">
      <formula>TIPOORCAMENTO="PROPOSTO"</formula>
    </cfRule>
    <cfRule type="expression" dxfId="817" priority="166" stopIfTrue="1">
      <formula>$C178=1</formula>
    </cfRule>
    <cfRule type="expression" dxfId="816" priority="167" stopIfTrue="1">
      <formula>OR(AND(ISNUMBER($C178),$C178=0),$C178=2,$C178=3,$C178=4)</formula>
    </cfRule>
  </conditionalFormatting>
  <conditionalFormatting sqref="AM178:AN186">
    <cfRule type="expression" dxfId="815" priority="168" stopIfTrue="1">
      <formula>TIPOORCAMENTO="PROPOSTO"</formula>
    </cfRule>
    <cfRule type="expression" dxfId="814" priority="169" stopIfTrue="1">
      <formula>$C178=1</formula>
    </cfRule>
    <cfRule type="expression" dxfId="813" priority="170" stopIfTrue="1">
      <formula>OR(AND(ISNUMBER($C178),$C178=0),$C178=2,$C178=3,$C178=4)</formula>
    </cfRule>
  </conditionalFormatting>
  <conditionalFormatting sqref="M187:M195">
    <cfRule type="cellIs" dxfId="812" priority="137" stopIfTrue="1" operator="notEqual">
      <formula>$N187</formula>
    </cfRule>
  </conditionalFormatting>
  <conditionalFormatting sqref="N187:O195 R187:R195 W187:X195">
    <cfRule type="expression" dxfId="811" priority="138" stopIfTrue="1">
      <formula>$C187=1</formula>
    </cfRule>
    <cfRule type="expression" dxfId="810" priority="139" stopIfTrue="1">
      <formula>OR($C187=0,$C187=2,$C187=3,$C187=4)</formula>
    </cfRule>
  </conditionalFormatting>
  <conditionalFormatting sqref="U187:V195">
    <cfRule type="expression" dxfId="809" priority="140" stopIfTrue="1">
      <formula>$C187=1</formula>
    </cfRule>
    <cfRule type="expression" dxfId="808" priority="141" stopIfTrue="1">
      <formula>OR($C187=0,$C187=2,$C187=3,$C187=4)</formula>
    </cfRule>
    <cfRule type="expression" dxfId="807" priority="142" stopIfTrue="1">
      <formula>AND(TIPOORCAMENTO="Licitado",$C187&lt;&gt;"L",$C187&lt;&gt;-1)</formula>
    </cfRule>
  </conditionalFormatting>
  <conditionalFormatting sqref="P187:Q195 S187:T195 Y187:Y195 AG187:AH195">
    <cfRule type="expression" dxfId="806" priority="143" stopIfTrue="1">
      <formula>$C187=1</formula>
    </cfRule>
    <cfRule type="expression" dxfId="805" priority="144" stopIfTrue="1">
      <formula>OR($C187=0,$C187=2,$C187=3,$C187=4)</formula>
    </cfRule>
  </conditionalFormatting>
  <conditionalFormatting sqref="AJ187:AJ195">
    <cfRule type="expression" dxfId="804" priority="145" stopIfTrue="1">
      <formula>OR(ACOMPANHAMENTO&lt;&gt;"BM",TIPOORCAMENTO="Licitado")</formula>
    </cfRule>
    <cfRule type="expression" dxfId="803" priority="146" stopIfTrue="1">
      <formula>$C187=1</formula>
    </cfRule>
    <cfRule type="expression" dxfId="802" priority="147" stopIfTrue="1">
      <formula>OR(AND(ISNUMBER($C187),$C187=0),$C187=2,$C187=3,$C187=4)</formula>
    </cfRule>
  </conditionalFormatting>
  <conditionalFormatting sqref="AL187:AL195">
    <cfRule type="expression" dxfId="801" priority="148" stopIfTrue="1">
      <formula>TIPOORCAMENTO="PROPOSTO"</formula>
    </cfRule>
    <cfRule type="expression" dxfId="800" priority="149" stopIfTrue="1">
      <formula>$C187=1</formula>
    </cfRule>
    <cfRule type="expression" dxfId="799" priority="150" stopIfTrue="1">
      <formula>OR(AND(ISNUMBER($C187),$C187=0),$C187=2,$C187=3,$C187=4)</formula>
    </cfRule>
  </conditionalFormatting>
  <conditionalFormatting sqref="AM187:AN195">
    <cfRule type="expression" dxfId="798" priority="151" stopIfTrue="1">
      <formula>TIPOORCAMENTO="PROPOSTO"</formula>
    </cfRule>
    <cfRule type="expression" dxfId="797" priority="152" stopIfTrue="1">
      <formula>$C187=1</formula>
    </cfRule>
    <cfRule type="expression" dxfId="796" priority="153" stopIfTrue="1">
      <formula>OR(AND(ISNUMBER($C187),$C187=0),$C187=2,$C187=3,$C187=4)</formula>
    </cfRule>
  </conditionalFormatting>
  <conditionalFormatting sqref="M196:M204">
    <cfRule type="cellIs" dxfId="795" priority="120" stopIfTrue="1" operator="notEqual">
      <formula>$N196</formula>
    </cfRule>
  </conditionalFormatting>
  <conditionalFormatting sqref="N196:O204 R196:R204 W196:X204">
    <cfRule type="expression" dxfId="794" priority="121" stopIfTrue="1">
      <formula>$C196=1</formula>
    </cfRule>
    <cfRule type="expression" dxfId="793" priority="122" stopIfTrue="1">
      <formula>OR($C196=0,$C196=2,$C196=3,$C196=4)</formula>
    </cfRule>
  </conditionalFormatting>
  <conditionalFormatting sqref="U196:V204">
    <cfRule type="expression" dxfId="792" priority="123" stopIfTrue="1">
      <formula>$C196=1</formula>
    </cfRule>
    <cfRule type="expression" dxfId="791" priority="124" stopIfTrue="1">
      <formula>OR($C196=0,$C196=2,$C196=3,$C196=4)</formula>
    </cfRule>
    <cfRule type="expression" dxfId="790" priority="125" stopIfTrue="1">
      <formula>AND(TIPOORCAMENTO="Licitado",$C196&lt;&gt;"L",$C196&lt;&gt;-1)</formula>
    </cfRule>
  </conditionalFormatting>
  <conditionalFormatting sqref="P196:Q204 S196:T204 Y196:Y204 AG196:AH204">
    <cfRule type="expression" dxfId="789" priority="126" stopIfTrue="1">
      <formula>$C196=1</formula>
    </cfRule>
    <cfRule type="expression" dxfId="788" priority="127" stopIfTrue="1">
      <formula>OR($C196=0,$C196=2,$C196=3,$C196=4)</formula>
    </cfRule>
  </conditionalFormatting>
  <conditionalFormatting sqref="AJ196:AJ204">
    <cfRule type="expression" dxfId="787" priority="128" stopIfTrue="1">
      <formula>OR(ACOMPANHAMENTO&lt;&gt;"BM",TIPOORCAMENTO="Licitado")</formula>
    </cfRule>
    <cfRule type="expression" dxfId="786" priority="129" stopIfTrue="1">
      <formula>$C196=1</formula>
    </cfRule>
    <cfRule type="expression" dxfId="785" priority="130" stopIfTrue="1">
      <formula>OR(AND(ISNUMBER($C196),$C196=0),$C196=2,$C196=3,$C196=4)</formula>
    </cfRule>
  </conditionalFormatting>
  <conditionalFormatting sqref="AL196:AL204">
    <cfRule type="expression" dxfId="784" priority="131" stopIfTrue="1">
      <formula>TIPOORCAMENTO="PROPOSTO"</formula>
    </cfRule>
    <cfRule type="expression" dxfId="783" priority="132" stopIfTrue="1">
      <formula>$C196=1</formula>
    </cfRule>
    <cfRule type="expression" dxfId="782" priority="133" stopIfTrue="1">
      <formula>OR(AND(ISNUMBER($C196),$C196=0),$C196=2,$C196=3,$C196=4)</formula>
    </cfRule>
  </conditionalFormatting>
  <conditionalFormatting sqref="AM196:AN204">
    <cfRule type="expression" dxfId="781" priority="134" stopIfTrue="1">
      <formula>TIPOORCAMENTO="PROPOSTO"</formula>
    </cfRule>
    <cfRule type="expression" dxfId="780" priority="135" stopIfTrue="1">
      <formula>$C196=1</formula>
    </cfRule>
    <cfRule type="expression" dxfId="779" priority="136" stopIfTrue="1">
      <formula>OR(AND(ISNUMBER($C196),$C196=0),$C196=2,$C196=3,$C196=4)</formula>
    </cfRule>
  </conditionalFormatting>
  <conditionalFormatting sqref="M205:M213">
    <cfRule type="cellIs" dxfId="778" priority="103" stopIfTrue="1" operator="notEqual">
      <formula>$N205</formula>
    </cfRule>
  </conditionalFormatting>
  <conditionalFormatting sqref="N205:O213 R205:R213 W205:X213">
    <cfRule type="expression" dxfId="777" priority="104" stopIfTrue="1">
      <formula>$C205=1</formula>
    </cfRule>
    <cfRule type="expression" dxfId="776" priority="105" stopIfTrue="1">
      <formula>OR($C205=0,$C205=2,$C205=3,$C205=4)</formula>
    </cfRule>
  </conditionalFormatting>
  <conditionalFormatting sqref="U205:V213">
    <cfRule type="expression" dxfId="775" priority="106" stopIfTrue="1">
      <formula>$C205=1</formula>
    </cfRule>
    <cfRule type="expression" dxfId="774" priority="107" stopIfTrue="1">
      <formula>OR($C205=0,$C205=2,$C205=3,$C205=4)</formula>
    </cfRule>
    <cfRule type="expression" dxfId="773" priority="108" stopIfTrue="1">
      <formula>AND(TIPOORCAMENTO="Licitado",$C205&lt;&gt;"L",$C205&lt;&gt;-1)</formula>
    </cfRule>
  </conditionalFormatting>
  <conditionalFormatting sqref="P205:Q213 S205:T213 Y205:Y213 AG205:AH213">
    <cfRule type="expression" dxfId="772" priority="109" stopIfTrue="1">
      <formula>$C205=1</formula>
    </cfRule>
    <cfRule type="expression" dxfId="771" priority="110" stopIfTrue="1">
      <formula>OR($C205=0,$C205=2,$C205=3,$C205=4)</formula>
    </cfRule>
  </conditionalFormatting>
  <conditionalFormatting sqref="AJ205:AJ213">
    <cfRule type="expression" dxfId="770" priority="111" stopIfTrue="1">
      <formula>OR(ACOMPANHAMENTO&lt;&gt;"BM",TIPOORCAMENTO="Licitado")</formula>
    </cfRule>
    <cfRule type="expression" dxfId="769" priority="112" stopIfTrue="1">
      <formula>$C205=1</formula>
    </cfRule>
    <cfRule type="expression" dxfId="768" priority="113" stopIfTrue="1">
      <formula>OR(AND(ISNUMBER($C205),$C205=0),$C205=2,$C205=3,$C205=4)</formula>
    </cfRule>
  </conditionalFormatting>
  <conditionalFormatting sqref="AL205:AL213">
    <cfRule type="expression" dxfId="767" priority="114" stopIfTrue="1">
      <formula>TIPOORCAMENTO="PROPOSTO"</formula>
    </cfRule>
    <cfRule type="expression" dxfId="766" priority="115" stopIfTrue="1">
      <formula>$C205=1</formula>
    </cfRule>
    <cfRule type="expression" dxfId="765" priority="116" stopIfTrue="1">
      <formula>OR(AND(ISNUMBER($C205),$C205=0),$C205=2,$C205=3,$C205=4)</formula>
    </cfRule>
  </conditionalFormatting>
  <conditionalFormatting sqref="AM205:AN213">
    <cfRule type="expression" dxfId="764" priority="117" stopIfTrue="1">
      <formula>TIPOORCAMENTO="PROPOSTO"</formula>
    </cfRule>
    <cfRule type="expression" dxfId="763" priority="118" stopIfTrue="1">
      <formula>$C205=1</formula>
    </cfRule>
    <cfRule type="expression" dxfId="762" priority="119" stopIfTrue="1">
      <formula>OR(AND(ISNUMBER($C205),$C205=0),$C205=2,$C205=3,$C205=4)</formula>
    </cfRule>
  </conditionalFormatting>
  <conditionalFormatting sqref="M214:M222">
    <cfRule type="cellIs" dxfId="761" priority="86" stopIfTrue="1" operator="notEqual">
      <formula>$N214</formula>
    </cfRule>
  </conditionalFormatting>
  <conditionalFormatting sqref="N214:O222 R214:R222 W214:X222">
    <cfRule type="expression" dxfId="760" priority="87" stopIfTrue="1">
      <formula>$C214=1</formula>
    </cfRule>
    <cfRule type="expression" dxfId="759" priority="88" stopIfTrue="1">
      <formula>OR($C214=0,$C214=2,$C214=3,$C214=4)</formula>
    </cfRule>
  </conditionalFormatting>
  <conditionalFormatting sqref="U214:V222">
    <cfRule type="expression" dxfId="758" priority="89" stopIfTrue="1">
      <formula>$C214=1</formula>
    </cfRule>
    <cfRule type="expression" dxfId="757" priority="90" stopIfTrue="1">
      <formula>OR($C214=0,$C214=2,$C214=3,$C214=4)</formula>
    </cfRule>
    <cfRule type="expression" dxfId="756" priority="91" stopIfTrue="1">
      <formula>AND(TIPOORCAMENTO="Licitado",$C214&lt;&gt;"L",$C214&lt;&gt;-1)</formula>
    </cfRule>
  </conditionalFormatting>
  <conditionalFormatting sqref="P214:Q222 S214:T222 Y214:Y222 AG214:AH222">
    <cfRule type="expression" dxfId="755" priority="92" stopIfTrue="1">
      <formula>$C214=1</formula>
    </cfRule>
    <cfRule type="expression" dxfId="754" priority="93" stopIfTrue="1">
      <formula>OR($C214=0,$C214=2,$C214=3,$C214=4)</formula>
    </cfRule>
  </conditionalFormatting>
  <conditionalFormatting sqref="AJ214:AJ222">
    <cfRule type="expression" dxfId="753" priority="94" stopIfTrue="1">
      <formula>OR(ACOMPANHAMENTO&lt;&gt;"BM",TIPOORCAMENTO="Licitado")</formula>
    </cfRule>
    <cfRule type="expression" dxfId="752" priority="95" stopIfTrue="1">
      <formula>$C214=1</formula>
    </cfRule>
    <cfRule type="expression" dxfId="751" priority="96" stopIfTrue="1">
      <formula>OR(AND(ISNUMBER($C214),$C214=0),$C214=2,$C214=3,$C214=4)</formula>
    </cfRule>
  </conditionalFormatting>
  <conditionalFormatting sqref="AL214:AL222">
    <cfRule type="expression" dxfId="750" priority="97" stopIfTrue="1">
      <formula>TIPOORCAMENTO="PROPOSTO"</formula>
    </cfRule>
    <cfRule type="expression" dxfId="749" priority="98" stopIfTrue="1">
      <formula>$C214=1</formula>
    </cfRule>
    <cfRule type="expression" dxfId="748" priority="99" stopIfTrue="1">
      <formula>OR(AND(ISNUMBER($C214),$C214=0),$C214=2,$C214=3,$C214=4)</formula>
    </cfRule>
  </conditionalFormatting>
  <conditionalFormatting sqref="AM214:AN222">
    <cfRule type="expression" dxfId="747" priority="100" stopIfTrue="1">
      <formula>TIPOORCAMENTO="PROPOSTO"</formula>
    </cfRule>
    <cfRule type="expression" dxfId="746" priority="101" stopIfTrue="1">
      <formula>$C214=1</formula>
    </cfRule>
    <cfRule type="expression" dxfId="745" priority="102" stopIfTrue="1">
      <formula>OR(AND(ISNUMBER($C214),$C214=0),$C214=2,$C214=3,$C214=4)</formula>
    </cfRule>
  </conditionalFormatting>
  <conditionalFormatting sqref="M223:M231">
    <cfRule type="cellIs" dxfId="744" priority="69" stopIfTrue="1" operator="notEqual">
      <formula>$N223</formula>
    </cfRule>
  </conditionalFormatting>
  <conditionalFormatting sqref="N223:O231 R223:R231 W223:X231">
    <cfRule type="expression" dxfId="743" priority="70" stopIfTrue="1">
      <formula>$C223=1</formula>
    </cfRule>
    <cfRule type="expression" dxfId="742" priority="71" stopIfTrue="1">
      <formula>OR($C223=0,$C223=2,$C223=3,$C223=4)</formula>
    </cfRule>
  </conditionalFormatting>
  <conditionalFormatting sqref="U223:V231">
    <cfRule type="expression" dxfId="741" priority="72" stopIfTrue="1">
      <formula>$C223=1</formula>
    </cfRule>
    <cfRule type="expression" dxfId="740" priority="73" stopIfTrue="1">
      <formula>OR($C223=0,$C223=2,$C223=3,$C223=4)</formula>
    </cfRule>
    <cfRule type="expression" dxfId="739" priority="74" stopIfTrue="1">
      <formula>AND(TIPOORCAMENTO="Licitado",$C223&lt;&gt;"L",$C223&lt;&gt;-1)</formula>
    </cfRule>
  </conditionalFormatting>
  <conditionalFormatting sqref="P223:Q231 S223:T231 Y223:Y231 AG223:AH231">
    <cfRule type="expression" dxfId="738" priority="75" stopIfTrue="1">
      <formula>$C223=1</formula>
    </cfRule>
    <cfRule type="expression" dxfId="737" priority="76" stopIfTrue="1">
      <formula>OR($C223=0,$C223=2,$C223=3,$C223=4)</formula>
    </cfRule>
  </conditionalFormatting>
  <conditionalFormatting sqref="AJ223:AJ231">
    <cfRule type="expression" dxfId="736" priority="77" stopIfTrue="1">
      <formula>OR(ACOMPANHAMENTO&lt;&gt;"BM",TIPOORCAMENTO="Licitado")</formula>
    </cfRule>
    <cfRule type="expression" dxfId="735" priority="78" stopIfTrue="1">
      <formula>$C223=1</formula>
    </cfRule>
    <cfRule type="expression" dxfId="734" priority="79" stopIfTrue="1">
      <formula>OR(AND(ISNUMBER($C223),$C223=0),$C223=2,$C223=3,$C223=4)</formula>
    </cfRule>
  </conditionalFormatting>
  <conditionalFormatting sqref="AL223:AL231">
    <cfRule type="expression" dxfId="733" priority="80" stopIfTrue="1">
      <formula>TIPOORCAMENTO="PROPOSTO"</formula>
    </cfRule>
    <cfRule type="expression" dxfId="732" priority="81" stopIfTrue="1">
      <formula>$C223=1</formula>
    </cfRule>
    <cfRule type="expression" dxfId="731" priority="82" stopIfTrue="1">
      <formula>OR(AND(ISNUMBER($C223),$C223=0),$C223=2,$C223=3,$C223=4)</formula>
    </cfRule>
  </conditionalFormatting>
  <conditionalFormatting sqref="AM223:AN231">
    <cfRule type="expression" dxfId="730" priority="83" stopIfTrue="1">
      <formula>TIPOORCAMENTO="PROPOSTO"</formula>
    </cfRule>
    <cfRule type="expression" dxfId="729" priority="84" stopIfTrue="1">
      <formula>$C223=1</formula>
    </cfRule>
    <cfRule type="expression" dxfId="728" priority="85" stopIfTrue="1">
      <formula>OR(AND(ISNUMBER($C223),$C223=0),$C223=2,$C223=3,$C223=4)</formula>
    </cfRule>
  </conditionalFormatting>
  <conditionalFormatting sqref="M232:M240">
    <cfRule type="cellIs" dxfId="727" priority="52" stopIfTrue="1" operator="notEqual">
      <formula>$N232</formula>
    </cfRule>
  </conditionalFormatting>
  <conditionalFormatting sqref="N232:O240 R232:R240 W232:X240">
    <cfRule type="expression" dxfId="726" priority="53" stopIfTrue="1">
      <formula>$C232=1</formula>
    </cfRule>
    <cfRule type="expression" dxfId="725" priority="54" stopIfTrue="1">
      <formula>OR($C232=0,$C232=2,$C232=3,$C232=4)</formula>
    </cfRule>
  </conditionalFormatting>
  <conditionalFormatting sqref="U232:V240">
    <cfRule type="expression" dxfId="724" priority="55" stopIfTrue="1">
      <formula>$C232=1</formula>
    </cfRule>
    <cfRule type="expression" dxfId="723" priority="56" stopIfTrue="1">
      <formula>OR($C232=0,$C232=2,$C232=3,$C232=4)</formula>
    </cfRule>
    <cfRule type="expression" dxfId="722" priority="57" stopIfTrue="1">
      <formula>AND(TIPOORCAMENTO="Licitado",$C232&lt;&gt;"L",$C232&lt;&gt;-1)</formula>
    </cfRule>
  </conditionalFormatting>
  <conditionalFormatting sqref="P232:Q240 S232:T240 Y232:Y240 AG232:AH240">
    <cfRule type="expression" dxfId="721" priority="58" stopIfTrue="1">
      <formula>$C232=1</formula>
    </cfRule>
    <cfRule type="expression" dxfId="720" priority="59" stopIfTrue="1">
      <formula>OR($C232=0,$C232=2,$C232=3,$C232=4)</formula>
    </cfRule>
  </conditionalFormatting>
  <conditionalFormatting sqref="AJ232:AJ240">
    <cfRule type="expression" dxfId="719" priority="60" stopIfTrue="1">
      <formula>OR(ACOMPANHAMENTO&lt;&gt;"BM",TIPOORCAMENTO="Licitado")</formula>
    </cfRule>
    <cfRule type="expression" dxfId="718" priority="61" stopIfTrue="1">
      <formula>$C232=1</formula>
    </cfRule>
    <cfRule type="expression" dxfId="717" priority="62" stopIfTrue="1">
      <formula>OR(AND(ISNUMBER($C232),$C232=0),$C232=2,$C232=3,$C232=4)</formula>
    </cfRule>
  </conditionalFormatting>
  <conditionalFormatting sqref="AL232:AL240">
    <cfRule type="expression" dxfId="716" priority="63" stopIfTrue="1">
      <formula>TIPOORCAMENTO="PROPOSTO"</formula>
    </cfRule>
    <cfRule type="expression" dxfId="715" priority="64" stopIfTrue="1">
      <formula>$C232=1</formula>
    </cfRule>
    <cfRule type="expression" dxfId="714" priority="65" stopIfTrue="1">
      <formula>OR(AND(ISNUMBER($C232),$C232=0),$C232=2,$C232=3,$C232=4)</formula>
    </cfRule>
  </conditionalFormatting>
  <conditionalFormatting sqref="AM232:AN240">
    <cfRule type="expression" dxfId="713" priority="66" stopIfTrue="1">
      <formula>TIPOORCAMENTO="PROPOSTO"</formula>
    </cfRule>
    <cfRule type="expression" dxfId="712" priority="67" stopIfTrue="1">
      <formula>$C232=1</formula>
    </cfRule>
    <cfRule type="expression" dxfId="711" priority="68" stopIfTrue="1">
      <formula>OR(AND(ISNUMBER($C232),$C232=0),$C232=2,$C232=3,$C232=4)</formula>
    </cfRule>
  </conditionalFormatting>
  <conditionalFormatting sqref="M241:M249">
    <cfRule type="cellIs" dxfId="710" priority="35" stopIfTrue="1" operator="notEqual">
      <formula>$N241</formula>
    </cfRule>
  </conditionalFormatting>
  <conditionalFormatting sqref="N241:O249 R241:R249 W241:X249">
    <cfRule type="expression" dxfId="709" priority="36" stopIfTrue="1">
      <formula>$C241=1</formula>
    </cfRule>
    <cfRule type="expression" dxfId="708" priority="37" stopIfTrue="1">
      <formula>OR($C241=0,$C241=2,$C241=3,$C241=4)</formula>
    </cfRule>
  </conditionalFormatting>
  <conditionalFormatting sqref="U241:V249">
    <cfRule type="expression" dxfId="707" priority="38" stopIfTrue="1">
      <formula>$C241=1</formula>
    </cfRule>
    <cfRule type="expression" dxfId="706" priority="39" stopIfTrue="1">
      <formula>OR($C241=0,$C241=2,$C241=3,$C241=4)</formula>
    </cfRule>
    <cfRule type="expression" dxfId="705" priority="40" stopIfTrue="1">
      <formula>AND(TIPOORCAMENTO="Licitado",$C241&lt;&gt;"L",$C241&lt;&gt;-1)</formula>
    </cfRule>
  </conditionalFormatting>
  <conditionalFormatting sqref="P241:Q249 S241:T249 Y241:Y249 AG241:AH249">
    <cfRule type="expression" dxfId="704" priority="41" stopIfTrue="1">
      <formula>$C241=1</formula>
    </cfRule>
    <cfRule type="expression" dxfId="703" priority="42" stopIfTrue="1">
      <formula>OR($C241=0,$C241=2,$C241=3,$C241=4)</formula>
    </cfRule>
  </conditionalFormatting>
  <conditionalFormatting sqref="AJ241:AJ249">
    <cfRule type="expression" dxfId="702" priority="43" stopIfTrue="1">
      <formula>OR(ACOMPANHAMENTO&lt;&gt;"BM",TIPOORCAMENTO="Licitado")</formula>
    </cfRule>
    <cfRule type="expression" dxfId="701" priority="44" stopIfTrue="1">
      <formula>$C241=1</formula>
    </cfRule>
    <cfRule type="expression" dxfId="700" priority="45" stopIfTrue="1">
      <formula>OR(AND(ISNUMBER($C241),$C241=0),$C241=2,$C241=3,$C241=4)</formula>
    </cfRule>
  </conditionalFormatting>
  <conditionalFormatting sqref="AL241:AL249">
    <cfRule type="expression" dxfId="699" priority="46" stopIfTrue="1">
      <formula>TIPOORCAMENTO="PROPOSTO"</formula>
    </cfRule>
    <cfRule type="expression" dxfId="698" priority="47" stopIfTrue="1">
      <formula>$C241=1</formula>
    </cfRule>
    <cfRule type="expression" dxfId="697" priority="48" stopIfTrue="1">
      <formula>OR(AND(ISNUMBER($C241),$C241=0),$C241=2,$C241=3,$C241=4)</formula>
    </cfRule>
  </conditionalFormatting>
  <conditionalFormatting sqref="AM241:AN249">
    <cfRule type="expression" dxfId="696" priority="49" stopIfTrue="1">
      <formula>TIPOORCAMENTO="PROPOSTO"</formula>
    </cfRule>
    <cfRule type="expression" dxfId="695" priority="50" stopIfTrue="1">
      <formula>$C241=1</formula>
    </cfRule>
    <cfRule type="expression" dxfId="694" priority="51" stopIfTrue="1">
      <formula>OR(AND(ISNUMBER($C241),$C241=0),$C241=2,$C241=3,$C241=4)</formula>
    </cfRule>
  </conditionalFormatting>
  <conditionalFormatting sqref="M250:M258">
    <cfRule type="cellIs" dxfId="693" priority="18" stopIfTrue="1" operator="notEqual">
      <formula>$N250</formula>
    </cfRule>
  </conditionalFormatting>
  <conditionalFormatting sqref="N250:O258 R250:R258 W250:X258">
    <cfRule type="expression" dxfId="692" priority="19" stopIfTrue="1">
      <formula>$C250=1</formula>
    </cfRule>
    <cfRule type="expression" dxfId="691" priority="20" stopIfTrue="1">
      <formula>OR($C250=0,$C250=2,$C250=3,$C250=4)</formula>
    </cfRule>
  </conditionalFormatting>
  <conditionalFormatting sqref="U250:V258">
    <cfRule type="expression" dxfId="690" priority="21" stopIfTrue="1">
      <formula>$C250=1</formula>
    </cfRule>
    <cfRule type="expression" dxfId="689" priority="22" stopIfTrue="1">
      <formula>OR($C250=0,$C250=2,$C250=3,$C250=4)</formula>
    </cfRule>
    <cfRule type="expression" dxfId="688" priority="23" stopIfTrue="1">
      <formula>AND(TIPOORCAMENTO="Licitado",$C250&lt;&gt;"L",$C250&lt;&gt;-1)</formula>
    </cfRule>
  </conditionalFormatting>
  <conditionalFormatting sqref="P250:Q258 S250:T258 Y250:Y258 AG250:AH258">
    <cfRule type="expression" dxfId="687" priority="24" stopIfTrue="1">
      <formula>$C250=1</formula>
    </cfRule>
    <cfRule type="expression" dxfId="686" priority="25" stopIfTrue="1">
      <formula>OR($C250=0,$C250=2,$C250=3,$C250=4)</formula>
    </cfRule>
  </conditionalFormatting>
  <conditionalFormatting sqref="AJ250:AJ258">
    <cfRule type="expression" dxfId="685" priority="26" stopIfTrue="1">
      <formula>OR(ACOMPANHAMENTO&lt;&gt;"BM",TIPOORCAMENTO="Licitado")</formula>
    </cfRule>
    <cfRule type="expression" dxfId="684" priority="27" stopIfTrue="1">
      <formula>$C250=1</formula>
    </cfRule>
    <cfRule type="expression" dxfId="683" priority="28" stopIfTrue="1">
      <formula>OR(AND(ISNUMBER($C250),$C250=0),$C250=2,$C250=3,$C250=4)</formula>
    </cfRule>
  </conditionalFormatting>
  <conditionalFormatting sqref="AL250:AL258">
    <cfRule type="expression" dxfId="682" priority="29" stopIfTrue="1">
      <formula>TIPOORCAMENTO="PROPOSTO"</formula>
    </cfRule>
    <cfRule type="expression" dxfId="681" priority="30" stopIfTrue="1">
      <formula>$C250=1</formula>
    </cfRule>
    <cfRule type="expression" dxfId="680" priority="31" stopIfTrue="1">
      <formula>OR(AND(ISNUMBER($C250),$C250=0),$C250=2,$C250=3,$C250=4)</formula>
    </cfRule>
  </conditionalFormatting>
  <conditionalFormatting sqref="AM250:AN258">
    <cfRule type="expression" dxfId="679" priority="32" stopIfTrue="1">
      <formula>TIPOORCAMENTO="PROPOSTO"</formula>
    </cfRule>
    <cfRule type="expression" dxfId="678" priority="33" stopIfTrue="1">
      <formula>$C250=1</formula>
    </cfRule>
    <cfRule type="expression" dxfId="677" priority="34" stopIfTrue="1">
      <formula>OR(AND(ISNUMBER($C250),$C250=0),$C250=2,$C250=3,$C250=4)</formula>
    </cfRule>
  </conditionalFormatting>
  <conditionalFormatting sqref="M259:M265">
    <cfRule type="cellIs" dxfId="676" priority="1" stopIfTrue="1" operator="notEqual">
      <formula>$N259</formula>
    </cfRule>
  </conditionalFormatting>
  <conditionalFormatting sqref="N259:O265 R259:R265 W259:X265">
    <cfRule type="expression" dxfId="675" priority="2" stopIfTrue="1">
      <formula>$C259=1</formula>
    </cfRule>
    <cfRule type="expression" dxfId="674" priority="3" stopIfTrue="1">
      <formula>OR($C259=0,$C259=2,$C259=3,$C259=4)</formula>
    </cfRule>
  </conditionalFormatting>
  <conditionalFormatting sqref="U259:V265">
    <cfRule type="expression" dxfId="673" priority="4" stopIfTrue="1">
      <formula>$C259=1</formula>
    </cfRule>
    <cfRule type="expression" dxfId="672" priority="5" stopIfTrue="1">
      <formula>OR($C259=0,$C259=2,$C259=3,$C259=4)</formula>
    </cfRule>
    <cfRule type="expression" dxfId="671" priority="6" stopIfTrue="1">
      <formula>AND(TIPOORCAMENTO="Licitado",$C259&lt;&gt;"L",$C259&lt;&gt;-1)</formula>
    </cfRule>
  </conditionalFormatting>
  <conditionalFormatting sqref="P259:Q265 S259:T265 Y259:Y265 AG259:AH265">
    <cfRule type="expression" dxfId="670" priority="7" stopIfTrue="1">
      <formula>$C259=1</formula>
    </cfRule>
    <cfRule type="expression" dxfId="669" priority="8" stopIfTrue="1">
      <formula>OR($C259=0,$C259=2,$C259=3,$C259=4)</formula>
    </cfRule>
  </conditionalFormatting>
  <conditionalFormatting sqref="AJ259:AJ265">
    <cfRule type="expression" dxfId="668" priority="9" stopIfTrue="1">
      <formula>OR(ACOMPANHAMENTO&lt;&gt;"BM",TIPOORCAMENTO="Licitado")</formula>
    </cfRule>
    <cfRule type="expression" dxfId="667" priority="10" stopIfTrue="1">
      <formula>$C259=1</formula>
    </cfRule>
    <cfRule type="expression" dxfId="666" priority="11" stopIfTrue="1">
      <formula>OR(AND(ISNUMBER($C259),$C259=0),$C259=2,$C259=3,$C259=4)</formula>
    </cfRule>
  </conditionalFormatting>
  <conditionalFormatting sqref="AL259:AL265">
    <cfRule type="expression" dxfId="665" priority="12" stopIfTrue="1">
      <formula>TIPOORCAMENTO="PROPOSTO"</formula>
    </cfRule>
    <cfRule type="expression" dxfId="664" priority="13" stopIfTrue="1">
      <formula>$C259=1</formula>
    </cfRule>
    <cfRule type="expression" dxfId="663" priority="14" stopIfTrue="1">
      <formula>OR(AND(ISNUMBER($C259),$C259=0),$C259=2,$C259=3,$C259=4)</formula>
    </cfRule>
  </conditionalFormatting>
  <conditionalFormatting sqref="AM259:AN265">
    <cfRule type="expression" dxfId="662" priority="15" stopIfTrue="1">
      <formula>TIPOORCAMENTO="PROPOSTO"</formula>
    </cfRule>
    <cfRule type="expression" dxfId="661" priority="16" stopIfTrue="1">
      <formula>$C259=1</formula>
    </cfRule>
    <cfRule type="expression" dxfId="660" priority="17" stopIfTrue="1">
      <formula>OR(AND(ISNUMBER($C259),$C259=0),$C259=2,$C259=3,$C259=4)</formula>
    </cfRule>
  </conditionalFormatting>
  <conditionalFormatting sqref="M18">
    <cfRule type="cellIs" dxfId="659" priority="7322" stopIfTrue="1" operator="notEqual">
      <formula>$N17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8:M265 M16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91" activePane="bottomRight" state="frozen"/>
      <selection activeCell="C1" sqref="C1"/>
      <selection pane="topRight" activeCell="I1" sqref="I1"/>
      <selection pane="bottomLeft" activeCell="C16" sqref="C16"/>
      <selection pane="bottomRight" activeCell="E15" sqref="E15:H1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9" t="str">
        <f>IF(ACOMPANHAMENTO="BM","MEMÓRIA DE CÁLCULO","PLQ - PLANILHA DE LEVANTAMENTO DE QUANTIDADES")</f>
        <v>MEMÓRIA DE CÁLCULO</v>
      </c>
      <c r="G1" s="709"/>
      <c r="H1" s="709"/>
      <c r="I1" s="180"/>
      <c r="K1" s="180"/>
      <c r="L1" s="180"/>
      <c r="M1" s="181"/>
      <c r="N1" s="180"/>
      <c r="P1" s="180"/>
      <c r="Q1" s="688" t="s">
        <v>139</v>
      </c>
      <c r="R1" s="688"/>
      <c r="Y1" s="688" t="s">
        <v>139</v>
      </c>
      <c r="Z1" s="688"/>
    </row>
    <row r="2" spans="1:59" ht="15" customHeight="1" x14ac:dyDescent="0.2">
      <c r="F2" s="710" t="str">
        <f>IF(ACOMPANHAMENTO="BM","","Memória de Cálculo")&amp;" - "&amp;import.recurso</f>
        <v xml:space="preserve"> - (SELECIONAR)</v>
      </c>
      <c r="G2" s="710"/>
      <c r="H2" s="710"/>
      <c r="I2" s="182"/>
      <c r="K2" s="182"/>
      <c r="L2" s="182"/>
      <c r="M2" s="183"/>
      <c r="N2" s="182"/>
      <c r="P2" s="182"/>
      <c r="Q2" s="689" t="s">
        <v>142</v>
      </c>
      <c r="R2" s="689"/>
      <c r="Y2" s="689" t="s">
        <v>142</v>
      </c>
      <c r="Z2" s="689"/>
    </row>
    <row r="3" spans="1:59" ht="12.75" customHeight="1" x14ac:dyDescent="0.2"/>
    <row r="4" spans="1:59" ht="12.75" customHeight="1" x14ac:dyDescent="0.2">
      <c r="E4" s="684" t="s">
        <v>201</v>
      </c>
      <c r="F4" s="684"/>
      <c r="G4" s="684" t="s">
        <v>439</v>
      </c>
      <c r="H4" s="684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4" t="s">
        <v>145</v>
      </c>
      <c r="T4" s="684"/>
      <c r="U4" s="684" t="s">
        <v>146</v>
      </c>
      <c r="V4" s="684"/>
      <c r="W4" s="684"/>
      <c r="X4" s="684"/>
      <c r="Y4" s="684"/>
      <c r="Z4" s="684"/>
    </row>
    <row r="5" spans="1:59" ht="12.75" customHeight="1" x14ac:dyDescent="0.2">
      <c r="E5" s="687" t="str">
        <f>Import.Apelido</f>
        <v>REFORMA UBS NOVA UNIÃO</v>
      </c>
      <c r="F5" s="687"/>
      <c r="G5" s="687">
        <f>Import.SICONV</f>
        <v>0</v>
      </c>
      <c r="H5" s="687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7">
        <f>Import.CR</f>
        <v>0</v>
      </c>
      <c r="T5" s="687"/>
      <c r="U5" s="687" t="str">
        <f>Import.Proponente</f>
        <v>MUNICIPIO DE CÉU AZUL</v>
      </c>
      <c r="V5" s="687"/>
      <c r="W5" s="687"/>
      <c r="X5" s="687"/>
      <c r="Y5" s="687"/>
      <c r="Z5" s="687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8">
        <f>Import.DescLote</f>
        <v>0</v>
      </c>
      <c r="F15" s="708"/>
      <c r="G15" s="708"/>
      <c r="H15" s="708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(PLACA DE OBRA)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>
        <f ca="1">OFFSET(ORÇAMENTO!R$15,ROW(F17)-ROW(F$15),0)</f>
        <v>0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3.</v>
      </c>
      <c r="B18" s="9">
        <f ca="1">OFFSET(ORÇAMENTO!C$15,ROW(B18)-ROW(B$15),0)</f>
        <v>2</v>
      </c>
      <c r="C18" s="9" t="str">
        <f ca="1">OFFSET(ORÇAMENTO!L$15,ROW(C18)-ROW(C$15),0)</f>
        <v>F</v>
      </c>
      <c r="D18" s="146" t="str">
        <f ca="1">OFFSET(ORÇAMENTO!N$15,ROW(D18)-ROW(D$15),0)</f>
        <v>Nível 2</v>
      </c>
      <c r="E18" s="206" t="str">
        <f ca="1">OFFSET(ORÇAMENTO!O$15,ROW(E18)-ROW(E$15),0)</f>
        <v>1.2.</v>
      </c>
      <c r="F18" s="207" t="str">
        <f ca="1">OFFSET(ORÇAMENTO!R$15,ROW(F18)-ROW(F$15),0)</f>
        <v>(SERVIÇOS INICIAIS)</v>
      </c>
      <c r="G18" s="208" t="str">
        <f ca="1">IF($D18&lt;&gt;"Serviço","",OFFSET(ORÇAMENTO!S$15,ROW(G18)-ROW(G$15),0))</f>
        <v/>
      </c>
      <c r="H18" s="152">
        <f ca="1">IF($D18&lt;&gt;"Serviço",0,IF(ACOMPANHAMENTO="BM",ROUND(OFFSET(ORÇAMENTO!AJ$15,ROW(H18)-ROW(H$15),0),15-13*ORÇAMENTO!$AF$7),SUMPRODUCT(($Q$12:$AA$12&lt;&gt;"")*ROUND($Q18:$AA18,15-13*ORÇAMENTO!$AF$7))))</f>
        <v>0</v>
      </c>
      <c r="I18" s="612"/>
      <c r="K18" s="209"/>
      <c r="L18" s="210" t="s">
        <v>254</v>
      </c>
      <c r="M18" s="211" t="str">
        <f ca="1">IF($D18&lt;&gt;"Serviço","",IF(AUTOEVENTO="manual",$A18,IF(ISERROR(MATCH($A18,$A$15:OFFSET($A18,-1,0),0)),MAX($M$15:OFFSET(M18,-1,0))+1,INDEX($M$15:OFFSET(M18,-1,0),MATCH($A18,$A$15:OFFSET($A18,-1,0),0)))))</f>
        <v/>
      </c>
      <c r="N18" s="212" t="str">
        <f ca="1">IF($D18&lt;&gt;"Serviço","",IF(AUTOEVENTO="Manual",IF($A18=0,"&lt;-- defina o número do agrupador",OFFSET(EVENTOS!$D$14,$A18,0)),OFFSET($F$15,$A18,0)))</f>
        <v/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0</v>
      </c>
      <c r="AN18" s="216">
        <f ca="1">IF($D18&lt;&gt;"Serviço",0,IF(AND(AUTOEVENTO="Manual",$M18=1),0,IF(OFFSET(CRONOPLE!$F$14,$M18,AN$13)="",10^12,OFFSET(CRONOPLE!$F$14,$M18,AN$13))))</f>
        <v>0</v>
      </c>
      <c r="AO18" s="216">
        <f ca="1">IF($D18&lt;&gt;"Serviço",0,IF(AND(AUTOEVENTO="Manual",$M18=1),0,IF(OFFSET(CRONOPLE!$F$14,$M18,AO$13)="",10^12,OFFSET(CRONOPLE!$F$14,$M18,AO$13))))</f>
        <v>0</v>
      </c>
      <c r="AP18" s="216">
        <f ca="1">IF($D18&lt;&gt;"Serviço",0,IF(AND(AUTOEVENTO="Manual",$M18=1),0,IF(OFFSET(CRONOPLE!$F$14,$M18,AP$13)="",10^12,OFFSET(CRONOPLE!$F$14,$M18,AP$13))))</f>
        <v>0</v>
      </c>
      <c r="AQ18" s="216">
        <f ca="1">IF($D18&lt;&gt;"Serviço",0,IF(AND(AUTOEVENTO="Manual",$M18=1),0,IF(OFFSET(CRONOPLE!$F$14,$M18,AQ$13)="",10^12,OFFSET(CRONOPLE!$F$14,$M18,AQ$13))))</f>
        <v>0</v>
      </c>
      <c r="AR18" s="216">
        <f ca="1">IF($D18&lt;&gt;"Serviço",0,IF(AND(AUTOEVENTO="Manual",$M18=1),0,IF(OFFSET(CRONOPLE!$F$14,$M18,AR$13)="",10^12,OFFSET(CRONOPLE!$F$14,$M18,AR$13))))</f>
        <v>0</v>
      </c>
      <c r="AS18" s="216">
        <f ca="1">IF($D18&lt;&gt;"Serviço",0,IF(AND(AUTOEVENTO="Manual",$M18=1),0,IF(OFFSET(CRONOPLE!$F$14,$M18,AS$13)="",10^12,OFFSET(CRONOPLE!$F$14,$M18,AS$13))))</f>
        <v>0</v>
      </c>
      <c r="AT18" s="216">
        <f ca="1">IF($D18&lt;&gt;"Serviço",0,IF(AND(AUTOEVENTO="Manual",$M18=1),0,IF(OFFSET(CRONOPLE!$F$14,$M18,AT$13)="",10^12,OFFSET(CRONOPLE!$F$14,$M18,AT$13))))</f>
        <v>0</v>
      </c>
      <c r="AU18" s="216">
        <f ca="1">IF($D18&lt;&gt;"Serviço",0,IF(AND(AUTOEVENTO="Manual",$M18=1),0,IF(OFFSET(CRONOPLE!$F$14,$M18,AU$13)="",10^12,OFFSET(CRONOPLE!$F$14,$M18,AU$13))))</f>
        <v>0</v>
      </c>
      <c r="AV18" s="216">
        <f ca="1">IF($D18&lt;&gt;"Serviço",0,IF(AND(AUTOEVENTO="Manual",$M18=1),0,IF(OFFSET(CRONOPLE!$F$14,$M18,AV$13)="",10^12,OFFSET(CRONOPLE!$F$14,$M18,AV$13))))</f>
        <v>0</v>
      </c>
      <c r="AX18" s="217">
        <f ca="1">IF($D18&lt;&gt;"Serviço",0,IF(OR(AND(AUTOEVENTO="Manual",$M18=1),$M18&gt;(ROW(PLE.lastrow)-ROW(PLE.firstrow))),0,IF(OFFSET(PLE!$G$14,$M18,AX$13)="",10^12,OFFSET(PLE!$G$14,$M18,AX$13))))</f>
        <v>0</v>
      </c>
      <c r="AY18" s="217">
        <f ca="1">IF($D18&lt;&gt;"Serviço",0,IF(OR(AND(AUTOEVENTO="Manual",$M18=1),$M18&gt;(ROW(PLE.lastrow)-ROW(PLE.firstrow))),0,IF(OFFSET(PLE!$G$14,$M18,AY$13)="",10^12,OFFSET(PLE!$G$14,$M18,AY$13))))</f>
        <v>0</v>
      </c>
      <c r="AZ18" s="217">
        <f ca="1">IF($D18&lt;&gt;"Serviço",0,IF(OR(AND(AUTOEVENTO="Manual",$M18=1),$M18&gt;(ROW(PLE.lastrow)-ROW(PLE.firstrow))),0,IF(OFFSET(PLE!$G$14,$M18,AZ$13)="",10^12,OFFSET(PLE!$G$14,$M18,AZ$13))))</f>
        <v>0</v>
      </c>
      <c r="BA18" s="217">
        <f ca="1">IF($D18&lt;&gt;"Serviço",0,IF(OR(AND(AUTOEVENTO="Manual",$M18=1),$M18&gt;(ROW(PLE.lastrow)-ROW(PLE.firstrow))),0,IF(OFFSET(PLE!$G$14,$M18,BA$13)="",10^12,OFFSET(PLE!$G$14,$M18,BA$13))))</f>
        <v>0</v>
      </c>
      <c r="BB18" s="217">
        <f ca="1">IF($D18&lt;&gt;"Serviço",0,IF(OR(AND(AUTOEVENTO="Manual",$M18=1),$M18&gt;(ROW(PLE.lastrow)-ROW(PLE.firstrow))),0,IF(OFFSET(PLE!$G$14,$M18,BB$13)="",10^12,OFFSET(PLE!$G$14,$M18,BB$13))))</f>
        <v>0</v>
      </c>
      <c r="BC18" s="217">
        <f ca="1">IF($D18&lt;&gt;"Serviço",0,IF(OR(AND(AUTOEVENTO="Manual",$M18=1),$M18&gt;(ROW(PLE.lastrow)-ROW(PLE.firstrow))),0,IF(OFFSET(PLE!$G$14,$M18,BC$13)="",10^12,OFFSET(PLE!$G$14,$M18,BC$13))))</f>
        <v>0</v>
      </c>
      <c r="BD18" s="217">
        <f ca="1">IF($D18&lt;&gt;"Serviço",0,IF(OR(AND(AUTOEVENTO="Manual",$M18=1),$M18&gt;(ROW(PLE.lastrow)-ROW(PLE.firstrow))),0,IF(OFFSET(PLE!$G$14,$M18,BD$13)="",10^12,OFFSET(PLE!$G$14,$M18,BD$13))))</f>
        <v>0</v>
      </c>
      <c r="BE18" s="217">
        <f ca="1">IF($D18&lt;&gt;"Serviço",0,IF(OR(AND(AUTOEVENTO="Manual",$M18=1),$M18&gt;(ROW(PLE.lastrow)-ROW(PLE.firstrow))),0,IF(OFFSET(PLE!$G$14,$M18,BE$13)="",10^12,OFFSET(PLE!$G$14,$M18,BE$13))))</f>
        <v>0</v>
      </c>
      <c r="BF18" s="217">
        <f ca="1">IF($D18&lt;&gt;"Serviço",0,IF(OR(AND(AUTOEVENTO="Manual",$M18=1),$M18&gt;(ROW(PLE.lastrow)-ROW(PLE.firstrow))),0,IF(OFFSET(PLE!$G$14,$M18,BF$13)="",10^12,OFFSET(PLE!$G$14,$M18,BF$13))))</f>
        <v>0</v>
      </c>
      <c r="BG18" s="217">
        <f ca="1">IF($D18&lt;&gt;"Serviço",0,IF(OR(AND(AUTOEVENTO="Manual",$M18=1),$M18&gt;(ROW(PLE.lastrow)-ROW(PLE.firstrow))),0,IF(OFFSET(PLE!$G$14,$M18,BG$13)="",10^12,OFFSET(PLE!$G$14,$M18,BG$13))))</f>
        <v>0</v>
      </c>
    </row>
    <row r="19" spans="1:59" ht="25.5" x14ac:dyDescent="0.2">
      <c r="A19" s="9" t="str">
        <f t="shared" ca="1" si="8"/>
        <v>3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1.2.1.</v>
      </c>
      <c r="F19" s="207" t="str">
        <f ca="1">OFFSET(ORÇAMENTO!R$15,ROW(F19)-ROW(F$15),0)</f>
        <v>PLACA DE OBRA EM CHAPA GALVANIZADA ADESIVADA COM SUPORTE DE MADEIRA</v>
      </c>
      <c r="G19" s="208" t="str">
        <f ca="1">IF($D19&lt;&gt;"Serviço","",OFFSET(ORÇAMENTO!S$15,ROW(G19)-ROW(G$15),0))</f>
        <v>UNIDADE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1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INICIAIS)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3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INICIAIS)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3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(SERVIÇOS INICIAIS)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1</v>
      </c>
      <c r="C22" s="9" t="str">
        <f ca="1">OFFSET(ORÇAMENTO!L$15,ROW(C22)-ROW(C$15),0)</f>
        <v>F</v>
      </c>
      <c r="D22" s="146" t="str">
        <f ca="1">OFFSET(ORÇAMENTO!N$15,ROW(D22)-ROW(D$15),0)</f>
        <v>Meta</v>
      </c>
      <c r="E22" s="206" t="str">
        <f ca="1">OFFSET(ORÇAMENTO!O$15,ROW(E22)-ROW(E$15),0)</f>
        <v>2.</v>
      </c>
      <c r="F22" s="207" t="str">
        <f ca="1">OFFSET(ORÇAMENTO!R$15,ROW(F22)-ROW(F$15),0)</f>
        <v>PAREDE E FORRO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12.75" x14ac:dyDescent="0.2">
      <c r="A23" s="9" t="str">
        <f t="shared" ca="1" si="8"/>
        <v>8.</v>
      </c>
      <c r="B23" s="9">
        <f ca="1">OFFSET(ORÇAMENTO!C$15,ROW(B23)-ROW(B$15),0)</f>
        <v>2</v>
      </c>
      <c r="C23" s="9" t="str">
        <f ca="1">OFFSET(ORÇAMENTO!L$15,ROW(C23)-ROW(C$15),0)</f>
        <v>F</v>
      </c>
      <c r="D23" s="146" t="str">
        <f ca="1">OFFSET(ORÇAMENTO!N$15,ROW(D23)-ROW(D$15),0)</f>
        <v>Nível 2</v>
      </c>
      <c r="E23" s="206" t="str">
        <f ca="1">OFFSET(ORÇAMENTO!O$15,ROW(E23)-ROW(E$15),0)</f>
        <v>2.1.</v>
      </c>
      <c r="F23" s="207">
        <f ca="1">OFFSET(ORÇAMENTO!R$15,ROW(F23)-ROW(F$15),0)</f>
        <v>0</v>
      </c>
      <c r="G23" s="208" t="str">
        <f ca="1">IF($D23&lt;&gt;"Serviço","",OFFSET(ORÇAMENTO!S$15,ROW(G23)-ROW(G$15),0))</f>
        <v/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 t="str">
        <f ca="1">IF($D23&lt;&gt;"Serviço","",IF(AUTOEVENTO="manual",$A23,IF(ISERROR(MATCH($A23,$A$15:OFFSET($A23,-1,0),0)),MAX($M$15:OFFSET(M23,-1,0))+1,INDEX($M$15:OFFSET(M23,-1,0),MATCH($A23,$A$15:OFFSET($A23,-1,0),0)))))</f>
        <v/>
      </c>
      <c r="N23" s="212" t="str">
        <f ca="1">IF($D23&lt;&gt;"Serviço","",IF(AUTOEVENTO="Manual",IF($A23=0,"&lt;-- defina o número do agrupador",OFFSET(EVENTOS!$D$14,$A23,0)),OFFSET($F$15,$A23,0)))</f>
        <v/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0</v>
      </c>
      <c r="AN23" s="216">
        <f ca="1">IF($D23&lt;&gt;"Serviço",0,IF(AND(AUTOEVENTO="Manual",$M23=1),0,IF(OFFSET(CRONOPLE!$F$14,$M23,AN$13)="",10^12,OFFSET(CRONOPLE!$F$14,$M23,AN$13))))</f>
        <v>0</v>
      </c>
      <c r="AO23" s="216">
        <f ca="1">IF($D23&lt;&gt;"Serviço",0,IF(AND(AUTOEVENTO="Manual",$M23=1),0,IF(OFFSET(CRONOPLE!$F$14,$M23,AO$13)="",10^12,OFFSET(CRONOPLE!$F$14,$M23,AO$13))))</f>
        <v>0</v>
      </c>
      <c r="AP23" s="216">
        <f ca="1">IF($D23&lt;&gt;"Serviço",0,IF(AND(AUTOEVENTO="Manual",$M23=1),0,IF(OFFSET(CRONOPLE!$F$14,$M23,AP$13)="",10^12,OFFSET(CRONOPLE!$F$14,$M23,AP$13))))</f>
        <v>0</v>
      </c>
      <c r="AQ23" s="216">
        <f ca="1">IF($D23&lt;&gt;"Serviço",0,IF(AND(AUTOEVENTO="Manual",$M23=1),0,IF(OFFSET(CRONOPLE!$F$14,$M23,AQ$13)="",10^12,OFFSET(CRONOPLE!$F$14,$M23,AQ$13))))</f>
        <v>0</v>
      </c>
      <c r="AR23" s="216">
        <f ca="1">IF($D23&lt;&gt;"Serviço",0,IF(AND(AUTOEVENTO="Manual",$M23=1),0,IF(OFFSET(CRONOPLE!$F$14,$M23,AR$13)="",10^12,OFFSET(CRONOPLE!$F$14,$M23,AR$13))))</f>
        <v>0</v>
      </c>
      <c r="AS23" s="216">
        <f ca="1">IF($D23&lt;&gt;"Serviço",0,IF(AND(AUTOEVENTO="Manual",$M23=1),0,IF(OFFSET(CRONOPLE!$F$14,$M23,AS$13)="",10^12,OFFSET(CRONOPLE!$F$14,$M23,AS$13))))</f>
        <v>0</v>
      </c>
      <c r="AT23" s="216">
        <f ca="1">IF($D23&lt;&gt;"Serviço",0,IF(AND(AUTOEVENTO="Manual",$M23=1),0,IF(OFFSET(CRONOPLE!$F$14,$M23,AT$13)="",10^12,OFFSET(CRONOPLE!$F$14,$M23,AT$13))))</f>
        <v>0</v>
      </c>
      <c r="AU23" s="216">
        <f ca="1">IF($D23&lt;&gt;"Serviço",0,IF(AND(AUTOEVENTO="Manual",$M23=1),0,IF(OFFSET(CRONOPLE!$F$14,$M23,AU$13)="",10^12,OFFSET(CRONOPLE!$F$14,$M23,AU$13))))</f>
        <v>0</v>
      </c>
      <c r="AV23" s="216">
        <f ca="1">IF($D23&lt;&gt;"Serviço",0,IF(AND(AUTOEVENTO="Manual",$M23=1),0,IF(OFFSET(CRONOPLE!$F$14,$M23,AV$13)="",10^12,OFFSET(CRONOPLE!$F$14,$M23,AV$13))))</f>
        <v>0</v>
      </c>
      <c r="AX23" s="217">
        <f ca="1">IF($D23&lt;&gt;"Serviço",0,IF(OR(AND(AUTOEVENTO="Manual",$M23=1),$M23&gt;(ROW(PLE.lastrow)-ROW(PLE.firstrow))),0,IF(OFFSET(PLE!$G$14,$M23,AX$13)="",10^12,OFFSET(PLE!$G$14,$M23,AX$13))))</f>
        <v>0</v>
      </c>
      <c r="AY23" s="217">
        <f ca="1">IF($D23&lt;&gt;"Serviço",0,IF(OR(AND(AUTOEVENTO="Manual",$M23=1),$M23&gt;(ROW(PLE.lastrow)-ROW(PLE.firstrow))),0,IF(OFFSET(PLE!$G$14,$M23,AY$13)="",10^12,OFFSET(PLE!$G$14,$M23,AY$13))))</f>
        <v>0</v>
      </c>
      <c r="AZ23" s="217">
        <f ca="1">IF($D23&lt;&gt;"Serviço",0,IF(OR(AND(AUTOEVENTO="Manual",$M23=1),$M23&gt;(ROW(PLE.lastrow)-ROW(PLE.firstrow))),0,IF(OFFSET(PLE!$G$14,$M23,AZ$13)="",10^12,OFFSET(PLE!$G$14,$M23,AZ$13))))</f>
        <v>0</v>
      </c>
      <c r="BA23" s="217">
        <f ca="1">IF($D23&lt;&gt;"Serviço",0,IF(OR(AND(AUTOEVENTO="Manual",$M23=1),$M23&gt;(ROW(PLE.lastrow)-ROW(PLE.firstrow))),0,IF(OFFSET(PLE!$G$14,$M23,BA$13)="",10^12,OFFSET(PLE!$G$14,$M23,BA$13))))</f>
        <v>0</v>
      </c>
      <c r="BB23" s="217">
        <f ca="1">IF($D23&lt;&gt;"Serviço",0,IF(OR(AND(AUTOEVENTO="Manual",$M23=1),$M23&gt;(ROW(PLE.lastrow)-ROW(PLE.firstrow))),0,IF(OFFSET(PLE!$G$14,$M23,BB$13)="",10^12,OFFSET(PLE!$G$14,$M23,BB$13))))</f>
        <v>0</v>
      </c>
      <c r="BC23" s="217">
        <f ca="1">IF($D23&lt;&gt;"Serviço",0,IF(OR(AND(AUTOEVENTO="Manual",$M23=1),$M23&gt;(ROW(PLE.lastrow)-ROW(PLE.firstrow))),0,IF(OFFSET(PLE!$G$14,$M23,BC$13)="",10^12,OFFSET(PLE!$G$14,$M23,BC$13))))</f>
        <v>0</v>
      </c>
      <c r="BD23" s="217">
        <f ca="1">IF($D23&lt;&gt;"Serviço",0,IF(OR(AND(AUTOEVENTO="Manual",$M23=1),$M23&gt;(ROW(PLE.lastrow)-ROW(PLE.firstrow))),0,IF(OFFSET(PLE!$G$14,$M23,BD$13)="",10^12,OFFSET(PLE!$G$14,$M23,BD$13))))</f>
        <v>0</v>
      </c>
      <c r="BE23" s="217">
        <f ca="1">IF($D23&lt;&gt;"Serviço",0,IF(OR(AND(AUTOEVENTO="Manual",$M23=1),$M23&gt;(ROW(PLE.lastrow)-ROW(PLE.firstrow))),0,IF(OFFSET(PLE!$G$14,$M23,BE$13)="",10^12,OFFSET(PLE!$G$14,$M23,BE$13))))</f>
        <v>0</v>
      </c>
      <c r="BF23" s="217">
        <f ca="1">IF($D23&lt;&gt;"Serviço",0,IF(OR(AND(AUTOEVENTO="Manual",$M23=1),$M23&gt;(ROW(PLE.lastrow)-ROW(PLE.firstrow))),0,IF(OFFSET(PLE!$G$14,$M23,BF$13)="",10^12,OFFSET(PLE!$G$14,$M23,BF$13))))</f>
        <v>0</v>
      </c>
      <c r="BG23" s="217">
        <f ca="1">IF($D23&lt;&gt;"Serviço",0,IF(OR(AND(AUTOEVENTO="Manual",$M23=1),$M23&gt;(ROW(PLE.lastrow)-ROW(PLE.firstrow))),0,IF(OFFSET(PLE!$G$14,$M23,BG$13)="",10^12,OFFSET(PLE!$G$14,$M23,BG$13))))</f>
        <v>0</v>
      </c>
    </row>
    <row r="24" spans="1:59" ht="12.75" x14ac:dyDescent="0.2">
      <c r="A24" s="9" t="str">
        <f t="shared" ca="1" si="8"/>
        <v>8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2.1.1.</v>
      </c>
      <c r="F24" s="207" t="str">
        <f ca="1">OFFSET(ORÇAMENTO!R$15,ROW(F24)-ROW(F$15),0)</f>
        <v>REPARO EM TRINCA DE PAREDE COM TELA SELA TRINCA</v>
      </c>
      <c r="G24" s="208" t="str">
        <f ca="1">IF($D24&lt;&gt;"Serviço","",OFFSET(ORÇAMENTO!S$15,ROW(G24)-ROW(G$15),0))</f>
        <v>M2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25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>
        <f ca="1">IF($D24&lt;&gt;"Serviço","",IF(AUTOEVENTO="Manual",IF($A24=0,"&lt;-- defina o número do agrupador",OFFSET(EVENTOS!$D$14,$A24,0)),OFFSET($F$15,$A24,0)))</f>
        <v>0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8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2.1.2.</v>
      </c>
      <c r="F25" s="207" t="str">
        <f ca="1">OFFSET(ORÇAMENTO!R$15,ROW(F25)-ROW(F$15),0)</f>
        <v xml:space="preserve">REPARO E FIXAÇÃO DE FORRO E TARRUGAMENTO </v>
      </c>
      <c r="G25" s="208" t="str">
        <f ca="1">IF($D25&lt;&gt;"Serviço","",OFFSET(ORÇAMENTO!S$15,ROW(G25)-ROW(G$15),0))</f>
        <v>M2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75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>
        <f ca="1">IF($D25&lt;&gt;"Serviço","",IF(AUTOEVENTO="Manual",IF($A25=0,"&lt;-- defina o número do agrupador",OFFSET(EVENTOS!$D$14,$A25,0)),OFFSET($F$15,$A25,0)))</f>
        <v>0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8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6" t="str">
        <f ca="1">OFFSET(ORÇAMENTO!N$15,ROW(D26)-ROW(D$15),0)</f>
        <v>Serviço</v>
      </c>
      <c r="E26" s="206" t="str">
        <f ca="1">OFFSET(ORÇAMENTO!O$15,ROW(E26)-ROW(E$15),0)</f>
        <v>-</v>
      </c>
      <c r="F26" s="207" t="str">
        <f ca="1">OFFSET(ORÇAMENTO!R$15,ROW(F26)-ROW(F$15),0)</f>
        <v>(Sem Código)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>
        <f ca="1">IF($D26&lt;&gt;"Serviço","",IF(AUTOEVENTO="Manual",IF($A26=0,"&lt;-- defina o número do agrupador",OFFSET(EVENTOS!$D$14,$A26,0)),OFFSET($F$15,$A26,0)))</f>
        <v>0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8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(Sem Código)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>
        <f ca="1">IF($D27&lt;&gt;"Serviço","",IF(AUTOEVENTO="Manual",IF($A27=0,"&lt;-- defina o número do agrupador",OFFSET(EVENTOS!$D$14,$A27,0)),OFFSET($F$15,$A27,0)))</f>
        <v>0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9" t="str">
        <f t="shared" ca="1" si="8"/>
        <v>8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>
        <f ca="1">IF($D28&lt;&gt;"Serviço","",IF(AUTOEVENTO="Manual",IF($A28=0,"&lt;-- defina o número do agrupador",OFFSET(EVENTOS!$D$14,$A28,0)),OFFSET($F$15,$A28,0)))</f>
        <v>0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8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(Sem Código)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>
        <f ca="1">IF($D29&lt;&gt;"Serviço","",IF(AUTOEVENTO="Manual",IF($A29=0,"&lt;-- defina o número do agrupador",OFFSET(EVENTOS!$D$14,$A29,0)),OFFSET($F$15,$A29,0)))</f>
        <v>0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8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(Sem Código)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>
        <f ca="1">IF($D30&lt;&gt;"Serviço","",IF(AUTOEVENTO="Manual",IF($A30=0,"&lt;-- defina o número do agrupador",OFFSET(EVENTOS!$D$14,$A30,0)),OFFSET($F$15,$A30,0)))</f>
        <v>0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8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(Sem Código)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>
        <f ca="1">IF($D31&lt;&gt;"Serviço","",IF(AUTOEVENTO="Manual",IF($A31=0,"&lt;-- defina o número do agrupador",OFFSET(EVENTOS!$D$14,$A31,0)),OFFSET($F$15,$A31,0)))</f>
        <v>0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8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>
        <f ca="1">OFFSET(ORÇAMENTO!R$15,ROW(F32)-ROW(F$15),0)</f>
        <v>0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>
        <f ca="1">IF($D32&lt;&gt;"Serviço","",IF(AUTOEVENTO="Manual",IF($A32=0,"&lt;-- defina o número do agrupador",OFFSET(EVENTOS!$D$14,$A32,0)),OFFSET($F$15,$A32,0)))</f>
        <v>0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8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>
        <f ca="1">OFFSET(ORÇAMENTO!R$15,ROW(F33)-ROW(F$15),0)</f>
        <v>0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>
        <f ca="1">IF($D33&lt;&gt;"Serviço","",IF(AUTOEVENTO="Manual",IF($A33=0,"&lt;-- defina o número do agrupador",OFFSET(EVENTOS!$D$14,$A33,0)),OFFSET($F$15,$A33,0)))</f>
        <v>0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8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>
        <f ca="1">IF($D34&lt;&gt;"Serviço","",IF(AUTOEVENTO="Manual",IF($A34=0,"&lt;-- defina o número do agrupador",OFFSET(EVENTOS!$D$14,$A34,0)),OFFSET($F$15,$A34,0)))</f>
        <v>0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8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>
        <f ca="1">IF($D35&lt;&gt;"Serviço","",IF(AUTOEVENTO="Manual",IF($A35=0,"&lt;-- defina o número do agrupador",OFFSET(EVENTOS!$D$14,$A35,0)),OFFSET($F$15,$A35,0)))</f>
        <v>0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8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2">
        <f ca="1">IF($D36&lt;&gt;"Serviço","",IF(AUTOEVENTO="Manual",IF($A36=0,"&lt;-- defina o número do agrupador",OFFSET(EVENTOS!$D$14,$A36,0)),OFFSET($F$15,$A36,0)))</f>
        <v>0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8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3</v>
      </c>
      <c r="N37" s="212">
        <f ca="1">IF($D37&lt;&gt;"Serviço","",IF(AUTOEVENTO="Manual",IF($A37=0,"&lt;-- defina o número do agrupador",OFFSET(EVENTOS!$D$14,$A37,0)),OFFSET($F$15,$A37,0)))</f>
        <v>0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8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3</v>
      </c>
      <c r="N38" s="212">
        <f ca="1">IF($D38&lt;&gt;"Serviço","",IF(AUTOEVENTO="Manual",IF($A38=0,"&lt;-- defina o número do agrupador",OFFSET(EVENTOS!$D$14,$A38,0)),OFFSET($F$15,$A38,0)))</f>
        <v>0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8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3</v>
      </c>
      <c r="N39" s="212">
        <f ca="1">IF($D39&lt;&gt;"Serviço","",IF(AUTOEVENTO="Manual",IF($A39=0,"&lt;-- defina o número do agrupador",OFFSET(EVENTOS!$D$14,$A39,0)),OFFSET($F$15,$A39,0)))</f>
        <v>0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8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3</v>
      </c>
      <c r="N40" s="212">
        <f ca="1">IF($D40&lt;&gt;"Serviço","",IF(AUTOEVENTO="Manual",IF($A40=0,"&lt;-- defina o número do agrupador",OFFSET(EVENTOS!$D$14,$A40,0)),OFFSET($F$15,$A40,0)))</f>
        <v>0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8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3</v>
      </c>
      <c r="N41" s="212">
        <f ca="1">IF($D41&lt;&gt;"Serviço","",IF(AUTOEVENTO="Manual",IF($A41=0,"&lt;-- defina o número do agrupador",OFFSET(EVENTOS!$D$14,$A41,0)),OFFSET($F$15,$A41,0)))</f>
        <v>0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8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(Sem Código)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3</v>
      </c>
      <c r="N42" s="212">
        <f ca="1">IF($D42&lt;&gt;"Serviço","",IF(AUTOEVENTO="Manual",IF($A42=0,"&lt;-- defina o número do agrupador",OFFSET(EVENTOS!$D$14,$A42,0)),OFFSET($F$15,$A42,0)))</f>
        <v>0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8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>
        <f ca="1">OFFSET(ORÇAMENTO!R$15,ROW(F43)-ROW(F$15),0)</f>
        <v>0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3</v>
      </c>
      <c r="N43" s="212">
        <f ca="1">IF($D43&lt;&gt;"Serviço","",IF(AUTOEVENTO="Manual",IF($A43=0,"&lt;-- defina o número do agrupador",OFFSET(EVENTOS!$D$14,$A43,0)),OFFSET($F$15,$A43,0)))</f>
        <v>0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8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3</v>
      </c>
      <c r="N44" s="212">
        <f ca="1">IF($D44&lt;&gt;"Serviço","",IF(AUTOEVENTO="Manual",IF($A44=0,"&lt;-- defina o número do agrupador",OFFSET(EVENTOS!$D$14,$A44,0)),OFFSET($F$15,$A44,0)))</f>
        <v>0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8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3</v>
      </c>
      <c r="N45" s="212">
        <f ca="1">IF($D45&lt;&gt;"Serviço","",IF(AUTOEVENTO="Manual",IF($A45=0,"&lt;-- defina o número do agrupador",OFFSET(EVENTOS!$D$14,$A45,0)),OFFSET($F$15,$A45,0)))</f>
        <v>0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8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3</v>
      </c>
      <c r="N46" s="212">
        <f ca="1">IF($D46&lt;&gt;"Serviço","",IF(AUTOEVENTO="Manual",IF($A46=0,"&lt;-- defina o número do agrupador",OFFSET(EVENTOS!$D$14,$A46,0)),OFFSET($F$15,$A46,0)))</f>
        <v>0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8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3</v>
      </c>
      <c r="N47" s="212">
        <f ca="1">IF($D47&lt;&gt;"Serviço","",IF(AUTOEVENTO="Manual",IF($A47=0,"&lt;-- defina o número do agrupador",OFFSET(EVENTOS!$D$14,$A47,0)),OFFSET($F$15,$A47,0)))</f>
        <v>0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8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3</v>
      </c>
      <c r="N48" s="212">
        <f ca="1">IF($D48&lt;&gt;"Serviço","",IF(AUTOEVENTO="Manual",IF($A48=0,"&lt;-- defina o número do agrupador",OFFSET(EVENTOS!$D$14,$A48,0)),OFFSET($F$15,$A48,0)))</f>
        <v>0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8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3</v>
      </c>
      <c r="N49" s="212">
        <f ca="1">IF($D49&lt;&gt;"Serviço","",IF(AUTOEVENTO="Manual",IF($A49=0,"&lt;-- defina o número do agrupador",OFFSET(EVENTOS!$D$14,$A49,0)),OFFSET($F$15,$A49,0)))</f>
        <v>0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8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3</v>
      </c>
      <c r="N50" s="212">
        <f ca="1">IF($D50&lt;&gt;"Serviço","",IF(AUTOEVENTO="Manual",IF($A50=0,"&lt;-- defina o número do agrupador",OFFSET(EVENTOS!$D$14,$A50,0)),OFFSET($F$15,$A50,0)))</f>
        <v>0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8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3</v>
      </c>
      <c r="N51" s="212">
        <f ca="1">IF($D51&lt;&gt;"Serviço","",IF(AUTOEVENTO="Manual",IF($A51=0,"&lt;-- defina o número do agrupador",OFFSET(EVENTOS!$D$14,$A51,0)),OFFSET($F$15,$A51,0)))</f>
        <v>0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8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3</v>
      </c>
      <c r="N52" s="212">
        <f ca="1">IF($D52&lt;&gt;"Serviço","",IF(AUTOEVENTO="Manual",IF($A52=0,"&lt;-- defina o número do agrupador",OFFSET(EVENTOS!$D$14,$A52,0)),OFFSET($F$15,$A52,0)))</f>
        <v>0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8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3</v>
      </c>
      <c r="N53" s="212">
        <f ca="1">IF($D53&lt;&gt;"Serviço","",IF(AUTOEVENTO="Manual",IF($A53=0,"&lt;-- defina o número do agrupador",OFFSET(EVENTOS!$D$14,$A53,0)),OFFSET($F$15,$A53,0)))</f>
        <v>0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8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3</v>
      </c>
      <c r="N54" s="212">
        <f ca="1">IF($D54&lt;&gt;"Serviço","",IF(AUTOEVENTO="Manual",IF($A54=0,"&lt;-- defina o número do agrupador",OFFSET(EVENTOS!$D$14,$A54,0)),OFFSET($F$15,$A54,0)))</f>
        <v>0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8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3</v>
      </c>
      <c r="N55" s="212">
        <f ca="1">IF($D55&lt;&gt;"Serviço","",IF(AUTOEVENTO="Manual",IF($A55=0,"&lt;-- defina o número do agrupador",OFFSET(EVENTOS!$D$14,$A55,0)),OFFSET($F$15,$A55,0)))</f>
        <v>0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8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3</v>
      </c>
      <c r="N56" s="212">
        <f ca="1">IF($D56&lt;&gt;"Serviço","",IF(AUTOEVENTO="Manual",IF($A56=0,"&lt;-- defina o número do agrupador",OFFSET(EVENTOS!$D$14,$A56,0)),OFFSET($F$15,$A56,0)))</f>
        <v>0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8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3</v>
      </c>
      <c r="N57" s="212">
        <f ca="1">IF($D57&lt;&gt;"Serviço","",IF(AUTOEVENTO="Manual",IF($A57=0,"&lt;-- defina o número do agrupador",OFFSET(EVENTOS!$D$14,$A57,0)),OFFSET($F$15,$A57,0)))</f>
        <v>0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43.</v>
      </c>
      <c r="B58" s="9">
        <f ca="1">OFFSET(ORÇAMENTO!C$15,ROW(B58)-ROW(B$15),0)</f>
        <v>1</v>
      </c>
      <c r="C58" s="9" t="str">
        <f ca="1">OFFSET(ORÇAMENTO!L$15,ROW(C58)-ROW(C$15),0)</f>
        <v>F</v>
      </c>
      <c r="D58" s="146" t="str">
        <f ca="1">OFFSET(ORÇAMENTO!N$15,ROW(D58)-ROW(D$15),0)</f>
        <v>Meta</v>
      </c>
      <c r="E58" s="206" t="str">
        <f ca="1">OFFSET(ORÇAMENTO!O$15,ROW(E58)-ROW(E$15),0)</f>
        <v>3.</v>
      </c>
      <c r="F58" s="207" t="str">
        <f ca="1">OFFSET(ORÇAMENTO!R$15,ROW(F58)-ROW(F$15),0)</f>
        <v>PINTURA</v>
      </c>
      <c r="G58" s="208" t="str">
        <f ca="1">IF($D58&lt;&gt;"Serviço","",OFFSET(ORÇAMENTO!S$15,ROW(G58)-ROW(G$15),0))</f>
        <v/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 t="str">
        <f ca="1">IF($D58&lt;&gt;"Serviço","",IF(AUTOEVENTO="manual",$A58,IF(ISERROR(MATCH($A58,$A$15:OFFSET($A58,-1,0),0)),MAX($M$15:OFFSET(M58,-1,0))+1,INDEX($M$15:OFFSET(M58,-1,0),MATCH($A58,$A$15:OFFSET($A58,-1,0),0)))))</f>
        <v/>
      </c>
      <c r="N58" s="212" t="str">
        <f ca="1">IF($D58&lt;&gt;"Serviço","",IF(AUTOEVENTO="Manual",IF($A58=0,"&lt;-- defina o número do agrupador",OFFSET(EVENTOS!$D$14,$A58,0)),OFFSET($F$15,$A58,0)))</f>
        <v/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0</v>
      </c>
      <c r="AN58" s="216">
        <f ca="1">IF($D58&lt;&gt;"Serviço",0,IF(AND(AUTOEVENTO="Manual",$M58=1),0,IF(OFFSET(CRONOPLE!$F$14,$M58,AN$13)="",10^12,OFFSET(CRONOPLE!$F$14,$M58,AN$13))))</f>
        <v>0</v>
      </c>
      <c r="AO58" s="216">
        <f ca="1">IF($D58&lt;&gt;"Serviço",0,IF(AND(AUTOEVENTO="Manual",$M58=1),0,IF(OFFSET(CRONOPLE!$F$14,$M58,AO$13)="",10^12,OFFSET(CRONOPLE!$F$14,$M58,AO$13))))</f>
        <v>0</v>
      </c>
      <c r="AP58" s="216">
        <f ca="1">IF($D58&lt;&gt;"Serviço",0,IF(AND(AUTOEVENTO="Manual",$M58=1),0,IF(OFFSET(CRONOPLE!$F$14,$M58,AP$13)="",10^12,OFFSET(CRONOPLE!$F$14,$M58,AP$13))))</f>
        <v>0</v>
      </c>
      <c r="AQ58" s="216">
        <f ca="1">IF($D58&lt;&gt;"Serviço",0,IF(AND(AUTOEVENTO="Manual",$M58=1),0,IF(OFFSET(CRONOPLE!$F$14,$M58,AQ$13)="",10^12,OFFSET(CRONOPLE!$F$14,$M58,AQ$13))))</f>
        <v>0</v>
      </c>
      <c r="AR58" s="216">
        <f ca="1">IF($D58&lt;&gt;"Serviço",0,IF(AND(AUTOEVENTO="Manual",$M58=1),0,IF(OFFSET(CRONOPLE!$F$14,$M58,AR$13)="",10^12,OFFSET(CRONOPLE!$F$14,$M58,AR$13))))</f>
        <v>0</v>
      </c>
      <c r="AS58" s="216">
        <f ca="1">IF($D58&lt;&gt;"Serviço",0,IF(AND(AUTOEVENTO="Manual",$M58=1),0,IF(OFFSET(CRONOPLE!$F$14,$M58,AS$13)="",10^12,OFFSET(CRONOPLE!$F$14,$M58,AS$13))))</f>
        <v>0</v>
      </c>
      <c r="AT58" s="216">
        <f ca="1">IF($D58&lt;&gt;"Serviço",0,IF(AND(AUTOEVENTO="Manual",$M58=1),0,IF(OFFSET(CRONOPLE!$F$14,$M58,AT$13)="",10^12,OFFSET(CRONOPLE!$F$14,$M58,AT$13))))</f>
        <v>0</v>
      </c>
      <c r="AU58" s="216">
        <f ca="1">IF($D58&lt;&gt;"Serviço",0,IF(AND(AUTOEVENTO="Manual",$M58=1),0,IF(OFFSET(CRONOPLE!$F$14,$M58,AU$13)="",10^12,OFFSET(CRONOPLE!$F$14,$M58,AU$13))))</f>
        <v>0</v>
      </c>
      <c r="AV58" s="216">
        <f ca="1">IF($D58&lt;&gt;"Serviço",0,IF(AND(AUTOEVENTO="Manual",$M58=1),0,IF(OFFSET(CRONOPLE!$F$14,$M58,AV$13)="",10^12,OFFSET(CRONOPLE!$F$14,$M58,AV$13))))</f>
        <v>0</v>
      </c>
      <c r="AX58" s="217">
        <f ca="1">IF($D58&lt;&gt;"Serviço",0,IF(OR(AND(AUTOEVENTO="Manual",$M58=1),$M58&gt;(ROW(PLE.lastrow)-ROW(PLE.firstrow))),0,IF(OFFSET(PLE!$G$14,$M58,AX$13)="",10^12,OFFSET(PLE!$G$14,$M58,AX$13))))</f>
        <v>0</v>
      </c>
      <c r="AY58" s="217">
        <f ca="1">IF($D58&lt;&gt;"Serviço",0,IF(OR(AND(AUTOEVENTO="Manual",$M58=1),$M58&gt;(ROW(PLE.lastrow)-ROW(PLE.firstrow))),0,IF(OFFSET(PLE!$G$14,$M58,AY$13)="",10^12,OFFSET(PLE!$G$14,$M58,AY$13))))</f>
        <v>0</v>
      </c>
      <c r="AZ58" s="217">
        <f ca="1">IF($D58&lt;&gt;"Serviço",0,IF(OR(AND(AUTOEVENTO="Manual",$M58=1),$M58&gt;(ROW(PLE.lastrow)-ROW(PLE.firstrow))),0,IF(OFFSET(PLE!$G$14,$M58,AZ$13)="",10^12,OFFSET(PLE!$G$14,$M58,AZ$13))))</f>
        <v>0</v>
      </c>
      <c r="BA58" s="217">
        <f ca="1">IF($D58&lt;&gt;"Serviço",0,IF(OR(AND(AUTOEVENTO="Manual",$M58=1),$M58&gt;(ROW(PLE.lastrow)-ROW(PLE.firstrow))),0,IF(OFFSET(PLE!$G$14,$M58,BA$13)="",10^12,OFFSET(PLE!$G$14,$M58,BA$13))))</f>
        <v>0</v>
      </c>
      <c r="BB58" s="217">
        <f ca="1">IF($D58&lt;&gt;"Serviço",0,IF(OR(AND(AUTOEVENTO="Manual",$M58=1),$M58&gt;(ROW(PLE.lastrow)-ROW(PLE.firstrow))),0,IF(OFFSET(PLE!$G$14,$M58,BB$13)="",10^12,OFFSET(PLE!$G$14,$M58,BB$13))))</f>
        <v>0</v>
      </c>
      <c r="BC58" s="217">
        <f ca="1">IF($D58&lt;&gt;"Serviço",0,IF(OR(AND(AUTOEVENTO="Manual",$M58=1),$M58&gt;(ROW(PLE.lastrow)-ROW(PLE.firstrow))),0,IF(OFFSET(PLE!$G$14,$M58,BC$13)="",10^12,OFFSET(PLE!$G$14,$M58,BC$13))))</f>
        <v>0</v>
      </c>
      <c r="BD58" s="217">
        <f ca="1">IF($D58&lt;&gt;"Serviço",0,IF(OR(AND(AUTOEVENTO="Manual",$M58=1),$M58&gt;(ROW(PLE.lastrow)-ROW(PLE.firstrow))),0,IF(OFFSET(PLE!$G$14,$M58,BD$13)="",10^12,OFFSET(PLE!$G$14,$M58,BD$13))))</f>
        <v>0</v>
      </c>
      <c r="BE58" s="217">
        <f ca="1">IF($D58&lt;&gt;"Serviço",0,IF(OR(AND(AUTOEVENTO="Manual",$M58=1),$M58&gt;(ROW(PLE.lastrow)-ROW(PLE.firstrow))),0,IF(OFFSET(PLE!$G$14,$M58,BE$13)="",10^12,OFFSET(PLE!$G$14,$M58,BE$13))))</f>
        <v>0</v>
      </c>
      <c r="BF58" s="217">
        <f ca="1">IF($D58&lt;&gt;"Serviço",0,IF(OR(AND(AUTOEVENTO="Manual",$M58=1),$M58&gt;(ROW(PLE.lastrow)-ROW(PLE.firstrow))),0,IF(OFFSET(PLE!$G$14,$M58,BF$13)="",10^12,OFFSET(PLE!$G$14,$M58,BF$13))))</f>
        <v>0</v>
      </c>
      <c r="BG58" s="217">
        <f ca="1">IF($D58&lt;&gt;"Serviço",0,IF(OR(AND(AUTOEVENTO="Manual",$M58=1),$M58&gt;(ROW(PLE.lastrow)-ROW(PLE.firstrow))),0,IF(OFFSET(PLE!$G$14,$M58,BG$13)="",10^12,OFFSET(PLE!$G$14,$M58,BG$13))))</f>
        <v>0</v>
      </c>
    </row>
    <row r="59" spans="1:59" ht="12.75" x14ac:dyDescent="0.2">
      <c r="A59" s="9" t="str">
        <f t="shared" ca="1" si="8"/>
        <v>44.</v>
      </c>
      <c r="B59" s="9">
        <f ca="1">OFFSET(ORÇAMENTO!C$15,ROW(B59)-ROW(B$15),0)</f>
        <v>2</v>
      </c>
      <c r="C59" s="9" t="str">
        <f ca="1">OFFSET(ORÇAMENTO!L$15,ROW(C59)-ROW(C$15),0)</f>
        <v>F</v>
      </c>
      <c r="D59" s="146" t="str">
        <f ca="1">OFFSET(ORÇAMENTO!N$15,ROW(D59)-ROW(D$15),0)</f>
        <v>Nível 2</v>
      </c>
      <c r="E59" s="206" t="str">
        <f ca="1">OFFSET(ORÇAMENTO!O$15,ROW(E59)-ROW(E$15),0)</f>
        <v>3.1.</v>
      </c>
      <c r="F59" s="207" t="str">
        <f ca="1">OFFSET(ORÇAMENTO!R$15,ROW(F59)-ROW(F$15),0)</f>
        <v>(SERVIÇOS INICIAIS)</v>
      </c>
      <c r="G59" s="208" t="str">
        <f ca="1">IF($D59&lt;&gt;"Serviço","",OFFSET(ORÇAMENTO!S$15,ROW(G59)-ROW(G$15),0))</f>
        <v/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 t="str">
        <f ca="1">IF($D59&lt;&gt;"Serviço","",IF(AUTOEVENTO="manual",$A59,IF(ISERROR(MATCH($A59,$A$15:OFFSET($A59,-1,0),0)),MAX($M$15:OFFSET(M59,-1,0))+1,INDEX($M$15:OFFSET(M59,-1,0),MATCH($A59,$A$15:OFFSET($A59,-1,0),0)))))</f>
        <v/>
      </c>
      <c r="N59" s="212" t="str">
        <f ca="1">IF($D59&lt;&gt;"Serviço","",IF(AUTOEVENTO="Manual",IF($A59=0,"&lt;-- defina o número do agrupador",OFFSET(EVENTOS!$D$14,$A59,0)),OFFSET($F$15,$A59,0)))</f>
        <v/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0</v>
      </c>
      <c r="AN59" s="216">
        <f ca="1">IF($D59&lt;&gt;"Serviço",0,IF(AND(AUTOEVENTO="Manual",$M59=1),0,IF(OFFSET(CRONOPLE!$F$14,$M59,AN$13)="",10^12,OFFSET(CRONOPLE!$F$14,$M59,AN$13))))</f>
        <v>0</v>
      </c>
      <c r="AO59" s="216">
        <f ca="1">IF($D59&lt;&gt;"Serviço",0,IF(AND(AUTOEVENTO="Manual",$M59=1),0,IF(OFFSET(CRONOPLE!$F$14,$M59,AO$13)="",10^12,OFFSET(CRONOPLE!$F$14,$M59,AO$13))))</f>
        <v>0</v>
      </c>
      <c r="AP59" s="216">
        <f ca="1">IF($D59&lt;&gt;"Serviço",0,IF(AND(AUTOEVENTO="Manual",$M59=1),0,IF(OFFSET(CRONOPLE!$F$14,$M59,AP$13)="",10^12,OFFSET(CRONOPLE!$F$14,$M59,AP$13))))</f>
        <v>0</v>
      </c>
      <c r="AQ59" s="216">
        <f ca="1">IF($D59&lt;&gt;"Serviço",0,IF(AND(AUTOEVENTO="Manual",$M59=1),0,IF(OFFSET(CRONOPLE!$F$14,$M59,AQ$13)="",10^12,OFFSET(CRONOPLE!$F$14,$M59,AQ$13))))</f>
        <v>0</v>
      </c>
      <c r="AR59" s="216">
        <f ca="1">IF($D59&lt;&gt;"Serviço",0,IF(AND(AUTOEVENTO="Manual",$M59=1),0,IF(OFFSET(CRONOPLE!$F$14,$M59,AR$13)="",10^12,OFFSET(CRONOPLE!$F$14,$M59,AR$13))))</f>
        <v>0</v>
      </c>
      <c r="AS59" s="216">
        <f ca="1">IF($D59&lt;&gt;"Serviço",0,IF(AND(AUTOEVENTO="Manual",$M59=1),0,IF(OFFSET(CRONOPLE!$F$14,$M59,AS$13)="",10^12,OFFSET(CRONOPLE!$F$14,$M59,AS$13))))</f>
        <v>0</v>
      </c>
      <c r="AT59" s="216">
        <f ca="1">IF($D59&lt;&gt;"Serviço",0,IF(AND(AUTOEVENTO="Manual",$M59=1),0,IF(OFFSET(CRONOPLE!$F$14,$M59,AT$13)="",10^12,OFFSET(CRONOPLE!$F$14,$M59,AT$13))))</f>
        <v>0</v>
      </c>
      <c r="AU59" s="216">
        <f ca="1">IF($D59&lt;&gt;"Serviço",0,IF(AND(AUTOEVENTO="Manual",$M59=1),0,IF(OFFSET(CRONOPLE!$F$14,$M59,AU$13)="",10^12,OFFSET(CRONOPLE!$F$14,$M59,AU$13))))</f>
        <v>0</v>
      </c>
      <c r="AV59" s="216">
        <f ca="1">IF($D59&lt;&gt;"Serviço",0,IF(AND(AUTOEVENTO="Manual",$M59=1),0,IF(OFFSET(CRONOPLE!$F$14,$M59,AV$13)="",10^12,OFFSET(CRONOPLE!$F$14,$M59,AV$13))))</f>
        <v>0</v>
      </c>
      <c r="AX59" s="217">
        <f ca="1">IF($D59&lt;&gt;"Serviço",0,IF(OR(AND(AUTOEVENTO="Manual",$M59=1),$M59&gt;(ROW(PLE.lastrow)-ROW(PLE.firstrow))),0,IF(OFFSET(PLE!$G$14,$M59,AX$13)="",10^12,OFFSET(PLE!$G$14,$M59,AX$13))))</f>
        <v>0</v>
      </c>
      <c r="AY59" s="217">
        <f ca="1">IF($D59&lt;&gt;"Serviço",0,IF(OR(AND(AUTOEVENTO="Manual",$M59=1),$M59&gt;(ROW(PLE.lastrow)-ROW(PLE.firstrow))),0,IF(OFFSET(PLE!$G$14,$M59,AY$13)="",10^12,OFFSET(PLE!$G$14,$M59,AY$13))))</f>
        <v>0</v>
      </c>
      <c r="AZ59" s="217">
        <f ca="1">IF($D59&lt;&gt;"Serviço",0,IF(OR(AND(AUTOEVENTO="Manual",$M59=1),$M59&gt;(ROW(PLE.lastrow)-ROW(PLE.firstrow))),0,IF(OFFSET(PLE!$G$14,$M59,AZ$13)="",10^12,OFFSET(PLE!$G$14,$M59,AZ$13))))</f>
        <v>0</v>
      </c>
      <c r="BA59" s="217">
        <f ca="1">IF($D59&lt;&gt;"Serviço",0,IF(OR(AND(AUTOEVENTO="Manual",$M59=1),$M59&gt;(ROW(PLE.lastrow)-ROW(PLE.firstrow))),0,IF(OFFSET(PLE!$G$14,$M59,BA$13)="",10^12,OFFSET(PLE!$G$14,$M59,BA$13))))</f>
        <v>0</v>
      </c>
      <c r="BB59" s="217">
        <f ca="1">IF($D59&lt;&gt;"Serviço",0,IF(OR(AND(AUTOEVENTO="Manual",$M59=1),$M59&gt;(ROW(PLE.lastrow)-ROW(PLE.firstrow))),0,IF(OFFSET(PLE!$G$14,$M59,BB$13)="",10^12,OFFSET(PLE!$G$14,$M59,BB$13))))</f>
        <v>0</v>
      </c>
      <c r="BC59" s="217">
        <f ca="1">IF($D59&lt;&gt;"Serviço",0,IF(OR(AND(AUTOEVENTO="Manual",$M59=1),$M59&gt;(ROW(PLE.lastrow)-ROW(PLE.firstrow))),0,IF(OFFSET(PLE!$G$14,$M59,BC$13)="",10^12,OFFSET(PLE!$G$14,$M59,BC$13))))</f>
        <v>0</v>
      </c>
      <c r="BD59" s="217">
        <f ca="1">IF($D59&lt;&gt;"Serviço",0,IF(OR(AND(AUTOEVENTO="Manual",$M59=1),$M59&gt;(ROW(PLE.lastrow)-ROW(PLE.firstrow))),0,IF(OFFSET(PLE!$G$14,$M59,BD$13)="",10^12,OFFSET(PLE!$G$14,$M59,BD$13))))</f>
        <v>0</v>
      </c>
      <c r="BE59" s="217">
        <f ca="1">IF($D59&lt;&gt;"Serviço",0,IF(OR(AND(AUTOEVENTO="Manual",$M59=1),$M59&gt;(ROW(PLE.lastrow)-ROW(PLE.firstrow))),0,IF(OFFSET(PLE!$G$14,$M59,BE$13)="",10^12,OFFSET(PLE!$G$14,$M59,BE$13))))</f>
        <v>0</v>
      </c>
      <c r="BF59" s="217">
        <f ca="1">IF($D59&lt;&gt;"Serviço",0,IF(OR(AND(AUTOEVENTO="Manual",$M59=1),$M59&gt;(ROW(PLE.lastrow)-ROW(PLE.firstrow))),0,IF(OFFSET(PLE!$G$14,$M59,BF$13)="",10^12,OFFSET(PLE!$G$14,$M59,BF$13))))</f>
        <v>0</v>
      </c>
      <c r="BG59" s="217">
        <f ca="1">IF($D59&lt;&gt;"Serviço",0,IF(OR(AND(AUTOEVENTO="Manual",$M59=1),$M59&gt;(ROW(PLE.lastrow)-ROW(PLE.firstrow))),0,IF(OFFSET(PLE!$G$14,$M59,BG$13)="",10^12,OFFSET(PLE!$G$14,$M59,BG$13))))</f>
        <v>0</v>
      </c>
    </row>
    <row r="60" spans="1:59" ht="12.75" x14ac:dyDescent="0.2">
      <c r="A60" s="9" t="str">
        <f t="shared" ca="1" si="8"/>
        <v>44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4</v>
      </c>
      <c r="N60" s="212" t="str">
        <f ca="1">IF($D60&lt;&gt;"Serviço","",IF(AUTOEVENTO="Manual",IF($A60=0,"&lt;-- defina o número do agrupador",OFFSET(EVENTOS!$D$14,$A60,0)),OFFSET($F$15,$A60,0)))</f>
        <v>(SERVIÇOS INICIAIS)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25.5" x14ac:dyDescent="0.2">
      <c r="A61" s="9" t="str">
        <f t="shared" ca="1" si="8"/>
        <v>44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6" t="str">
        <f ca="1">OFFSET(ORÇAMENTO!N$15,ROW(D61)-ROW(D$15),0)</f>
        <v>Serviço</v>
      </c>
      <c r="E61" s="206" t="str">
        <f ca="1">OFFSET(ORÇAMENTO!O$15,ROW(E61)-ROW(E$15),0)</f>
        <v>3.1.1.</v>
      </c>
      <c r="F61" s="207" t="str">
        <f ca="1">OFFSET(ORÇAMENTO!R$15,ROW(F61)-ROW(F$15),0)</f>
        <v>APLICAÇÃO DO FUNDO PREPARADOR INCLUSO PINTOR E AJUDANTE E MATERIA</v>
      </c>
      <c r="G61" s="208" t="str">
        <f ca="1">IF($D61&lt;&gt;"Serviço","",OFFSET(ORÇAMENTO!S$15,ROW(G61)-ROW(G$15),0))</f>
        <v>M2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738.83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4</v>
      </c>
      <c r="N61" s="212" t="str">
        <f ca="1">IF($D61&lt;&gt;"Serviço","",IF(AUTOEVENTO="Manual",IF($A61=0,"&lt;-- defina o número do agrupador",OFFSET(EVENTOS!$D$14,$A61,0)),OFFSET($F$15,$A61,0)))</f>
        <v>(SERVIÇOS INICIAIS)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44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6" t="str">
        <f ca="1">OFFSET(ORÇAMENTO!N$15,ROW(D62)-ROW(D$15),0)</f>
        <v>Serviço</v>
      </c>
      <c r="E62" s="206" t="str">
        <f ca="1">OFFSET(ORÇAMENTO!O$15,ROW(E62)-ROW(E$15),0)</f>
        <v>3.1.2.</v>
      </c>
      <c r="F62" s="207" t="str">
        <f ca="1">OFFSET(ORÇAMENTO!R$15,ROW(F62)-ROW(F$15),0)</f>
        <v>APLICAÇÃO MANUAL DE PINTURA COM TINTA LÁTEX ACRÍLICA EM PAREDES, DUAS DEMÃOS. AF_06/2014</v>
      </c>
      <c r="G62" s="208" t="str">
        <f ca="1">IF($D62&lt;&gt;"Serviço","",OFFSET(ORÇAMENTO!S$15,ROW(G62)-ROW(G$15),0))</f>
        <v>M2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738.83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4</v>
      </c>
      <c r="N62" s="212" t="str">
        <f ca="1">IF($D62&lt;&gt;"Serviço","",IF(AUTOEVENTO="Manual",IF($A62=0,"&lt;-- defina o número do agrupador",OFFSET(EVENTOS!$D$14,$A62,0)),OFFSET($F$15,$A62,0)))</f>
        <v>(SERVIÇOS INICIAIS)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25.5" x14ac:dyDescent="0.2">
      <c r="A63" s="9" t="str">
        <f t="shared" ca="1" si="8"/>
        <v>44</v>
      </c>
      <c r="B63" s="9" t="str">
        <f ca="1">OFFSET(ORÇAMENTO!C$15,ROW(B63)-ROW(B$15),0)</f>
        <v>S</v>
      </c>
      <c r="C63" s="9" t="str">
        <f ca="1">OFFSET(ORÇAMENTO!L$15,ROW(C63)-ROW(C$15),0)</f>
        <v>F</v>
      </c>
      <c r="D63" s="146" t="str">
        <f ca="1">OFFSET(ORÇAMENTO!N$15,ROW(D63)-ROW(D$15),0)</f>
        <v>Serviço</v>
      </c>
      <c r="E63" s="206" t="str">
        <f ca="1">OFFSET(ORÇAMENTO!O$15,ROW(E63)-ROW(E$15),0)</f>
        <v>3.1.3.</v>
      </c>
      <c r="F63" s="207" t="str">
        <f ca="1">OFFSET(ORÇAMENTO!R$15,ROW(F63)-ROW(F$15),0)</f>
        <v>TEXTURA ACRÍLICA, APLICAÇÃO MANUAL EM PAREDE, UMA DEMÃO. AF_09/2016</v>
      </c>
      <c r="G63" s="208" t="str">
        <f ca="1">IF($D63&lt;&gt;"Serviço","",OFFSET(ORÇAMENTO!S$15,ROW(G63)-ROW(G$15),0))</f>
        <v>M2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285.55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4</v>
      </c>
      <c r="N63" s="212" t="str">
        <f ca="1">IF($D63&lt;&gt;"Serviço","",IF(AUTOEVENTO="Manual",IF($A63=0,"&lt;-- defina o número do agrupador",OFFSET(EVENTOS!$D$14,$A63,0)),OFFSET($F$15,$A63,0)))</f>
        <v>(SERVIÇOS INICIAIS)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38.25" x14ac:dyDescent="0.2">
      <c r="A64" s="9" t="str">
        <f t="shared" ca="1" si="8"/>
        <v>44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6" t="str">
        <f ca="1">OFFSET(ORÇAMENTO!N$15,ROW(D64)-ROW(D$15),0)</f>
        <v>Serviço</v>
      </c>
      <c r="E64" s="206" t="str">
        <f ca="1">OFFSET(ORÇAMENTO!O$15,ROW(E64)-ROW(E$15),0)</f>
        <v>3.1.4.</v>
      </c>
      <c r="F64" s="207" t="str">
        <f ca="1">OFFSET(ORÇAMENTO!R$15,ROW(F64)-ROW(F$15),0)</f>
        <v>APLICAÇÃO MANUAL DE MASSA ACRÍLICA EM PANOS DE FACHADA COM PRESENÇA DE VÃOS, DE EDIFÍCIOS DE MÚLTIPLOS PAVIMENTOS, UMA DEMÃO. AF_05/2017</v>
      </c>
      <c r="G64" s="208" t="str">
        <f ca="1">IF($D64&lt;&gt;"Serviço","",OFFSET(ORÇAMENTO!S$15,ROW(G64)-ROW(G$15),0))</f>
        <v>M2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453.28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4</v>
      </c>
      <c r="N64" s="212" t="str">
        <f ca="1">IF($D64&lt;&gt;"Serviço","",IF(AUTOEVENTO="Manual",IF($A64=0,"&lt;-- defina o número do agrupador",OFFSET(EVENTOS!$D$14,$A64,0)),OFFSET($F$15,$A64,0)))</f>
        <v>(SERVIÇOS INICIAIS)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44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4</v>
      </c>
      <c r="N65" s="212" t="str">
        <f ca="1">IF($D65&lt;&gt;"Serviço","",IF(AUTOEVENTO="Manual",IF($A65=0,"&lt;-- defina o número do agrupador",OFFSET(EVENTOS!$D$14,$A65,0)),OFFSET($F$15,$A65,0)))</f>
        <v>(SERVIÇOS INICIAIS)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44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4</v>
      </c>
      <c r="N66" s="212" t="str">
        <f ca="1">IF($D66&lt;&gt;"Serviço","",IF(AUTOEVENTO="Manual",IF($A66=0,"&lt;-- defina o número do agrupador",OFFSET(EVENTOS!$D$14,$A66,0)),OFFSET($F$15,$A66,0)))</f>
        <v>(SERVIÇOS INICIAIS)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44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4</v>
      </c>
      <c r="N67" s="212" t="str">
        <f ca="1">IF($D67&lt;&gt;"Serviço","",IF(AUTOEVENTO="Manual",IF($A67=0,"&lt;-- defina o número do agrupador",OFFSET(EVENTOS!$D$14,$A67,0)),OFFSET($F$15,$A67,0)))</f>
        <v>(SERVIÇOS INICIAIS)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44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4</v>
      </c>
      <c r="N68" s="212" t="str">
        <f ca="1">IF($D68&lt;&gt;"Serviço","",IF(AUTOEVENTO="Manual",IF($A68=0,"&lt;-- defina o número do agrupador",OFFSET(EVENTOS!$D$14,$A68,0)),OFFSET($F$15,$A68,0)))</f>
        <v>(SERVIÇOS INICIAIS)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44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4</v>
      </c>
      <c r="N69" s="212" t="str">
        <f ca="1">IF($D69&lt;&gt;"Serviço","",IF(AUTOEVENTO="Manual",IF($A69=0,"&lt;-- defina o número do agrupador",OFFSET(EVENTOS!$D$14,$A69,0)),OFFSET($F$15,$A69,0)))</f>
        <v>(SERVIÇOS INICIAIS)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44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4</v>
      </c>
      <c r="N70" s="212" t="str">
        <f ca="1">IF($D70&lt;&gt;"Serviço","",IF(AUTOEVENTO="Manual",IF($A70=0,"&lt;-- defina o número do agrupador",OFFSET(EVENTOS!$D$14,$A70,0)),OFFSET($F$15,$A70,0)))</f>
        <v>(SERVIÇOS INICIAIS)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44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4</v>
      </c>
      <c r="N71" s="212" t="str">
        <f ca="1">IF($D71&lt;&gt;"Serviço","",IF(AUTOEVENTO="Manual",IF($A71=0,"&lt;-- defina o número do agrupador",OFFSET(EVENTOS!$D$14,$A71,0)),OFFSET($F$15,$A71,0)))</f>
        <v>(SERVIÇOS INICIAIS)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44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4</v>
      </c>
      <c r="N72" s="212" t="str">
        <f ca="1">IF($D72&lt;&gt;"Serviço","",IF(AUTOEVENTO="Manual",IF($A72=0,"&lt;-- defina o número do agrupador",OFFSET(EVENTOS!$D$14,$A72,0)),OFFSET($F$15,$A72,0)))</f>
        <v>(SERVIÇOS INICIAIS)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44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4</v>
      </c>
      <c r="N73" s="212" t="str">
        <f ca="1">IF($D73&lt;&gt;"Serviço","",IF(AUTOEVENTO="Manual",IF($A73=0,"&lt;-- defina o número do agrupador",OFFSET(EVENTOS!$D$14,$A73,0)),OFFSET($F$15,$A73,0)))</f>
        <v>(SERVIÇOS INICIAIS)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44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4</v>
      </c>
      <c r="N74" s="212" t="str">
        <f ca="1">IF($D74&lt;&gt;"Serviço","",IF(AUTOEVENTO="Manual",IF($A74=0,"&lt;-- defina o número do agrupador",OFFSET(EVENTOS!$D$14,$A74,0)),OFFSET($F$15,$A74,0)))</f>
        <v>(SERVIÇOS INICIAIS)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44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4</v>
      </c>
      <c r="N75" s="212" t="str">
        <f ca="1">IF($D75&lt;&gt;"Serviço","",IF(AUTOEVENTO="Manual",IF($A75=0,"&lt;-- defina o número do agrupador",OFFSET(EVENTOS!$D$14,$A75,0)),OFFSET($F$15,$A75,0)))</f>
        <v>(SERVIÇOS INICIAIS)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44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4</v>
      </c>
      <c r="N76" s="212" t="str">
        <f ca="1">IF($D76&lt;&gt;"Serviço","",IF(AUTOEVENTO="Manual",IF($A76=0,"&lt;-- defina o número do agrupador",OFFSET(EVENTOS!$D$14,$A76,0)),OFFSET($F$15,$A76,0)))</f>
        <v>(SERVIÇOS INICIAIS)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44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4</v>
      </c>
      <c r="N77" s="212" t="str">
        <f ca="1">IF($D77&lt;&gt;"Serviço","",IF(AUTOEVENTO="Manual",IF($A77=0,"&lt;-- defina o número do agrupador",OFFSET(EVENTOS!$D$14,$A77,0)),OFFSET($F$15,$A77,0)))</f>
        <v>(SERVIÇOS INICIAIS)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63.</v>
      </c>
      <c r="B78" s="9">
        <f ca="1">OFFSET(ORÇAMENTO!C$15,ROW(B78)-ROW(B$15),0)</f>
        <v>1</v>
      </c>
      <c r="C78" s="9" t="str">
        <f ca="1">OFFSET(ORÇAMENTO!L$15,ROW(C78)-ROW(C$15),0)</f>
        <v>F</v>
      </c>
      <c r="D78" s="146" t="str">
        <f ca="1">OFFSET(ORÇAMENTO!N$15,ROW(D78)-ROW(D$15),0)</f>
        <v>Meta</v>
      </c>
      <c r="E78" s="206" t="str">
        <f ca="1">OFFSET(ORÇAMENTO!O$15,ROW(E78)-ROW(E$15),0)</f>
        <v>4.</v>
      </c>
      <c r="F78" s="207" t="str">
        <f ca="1">OFFSET(ORÇAMENTO!R$15,ROW(F78)-ROW(F$15),0)</f>
        <v>ESQUADRIAS</v>
      </c>
      <c r="G78" s="208" t="str">
        <f ca="1">IF($D78&lt;&gt;"Serviço","",OFFSET(ORÇAMENTO!S$15,ROW(G78)-ROW(G$15),0))</f>
        <v/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 t="str">
        <f ca="1">IF($D78&lt;&gt;"Serviço","",IF(AUTOEVENTO="manual",$A78,IF(ISERROR(MATCH($A78,$A$15:OFFSET($A78,-1,0),0)),MAX($M$15:OFFSET(M78,-1,0))+1,INDEX($M$15:OFFSET(M78,-1,0),MATCH($A78,$A$15:OFFSET($A78,-1,0),0)))))</f>
        <v/>
      </c>
      <c r="N78" s="212" t="str">
        <f ca="1">IF($D78&lt;&gt;"Serviço","",IF(AUTOEVENTO="Manual",IF($A78=0,"&lt;-- defina o número do agrupador",OFFSET(EVENTOS!$D$14,$A78,0)),OFFSET($F$15,$A78,0)))</f>
        <v/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0</v>
      </c>
      <c r="AN78" s="216">
        <f ca="1">IF($D78&lt;&gt;"Serviço",0,IF(AND(AUTOEVENTO="Manual",$M78=1),0,IF(OFFSET(CRONOPLE!$F$14,$M78,AN$13)="",10^12,OFFSET(CRONOPLE!$F$14,$M78,AN$13))))</f>
        <v>0</v>
      </c>
      <c r="AO78" s="216">
        <f ca="1">IF($D78&lt;&gt;"Serviço",0,IF(AND(AUTOEVENTO="Manual",$M78=1),0,IF(OFFSET(CRONOPLE!$F$14,$M78,AO$13)="",10^12,OFFSET(CRONOPLE!$F$14,$M78,AO$13))))</f>
        <v>0</v>
      </c>
      <c r="AP78" s="216">
        <f ca="1">IF($D78&lt;&gt;"Serviço",0,IF(AND(AUTOEVENTO="Manual",$M78=1),0,IF(OFFSET(CRONOPLE!$F$14,$M78,AP$13)="",10^12,OFFSET(CRONOPLE!$F$14,$M78,AP$13))))</f>
        <v>0</v>
      </c>
      <c r="AQ78" s="216">
        <f ca="1">IF($D78&lt;&gt;"Serviço",0,IF(AND(AUTOEVENTO="Manual",$M78=1),0,IF(OFFSET(CRONOPLE!$F$14,$M78,AQ$13)="",10^12,OFFSET(CRONOPLE!$F$14,$M78,AQ$13))))</f>
        <v>0</v>
      </c>
      <c r="AR78" s="216">
        <f ca="1">IF($D78&lt;&gt;"Serviço",0,IF(AND(AUTOEVENTO="Manual",$M78=1),0,IF(OFFSET(CRONOPLE!$F$14,$M78,AR$13)="",10^12,OFFSET(CRONOPLE!$F$14,$M78,AR$13))))</f>
        <v>0</v>
      </c>
      <c r="AS78" s="216">
        <f ca="1">IF($D78&lt;&gt;"Serviço",0,IF(AND(AUTOEVENTO="Manual",$M78=1),0,IF(OFFSET(CRONOPLE!$F$14,$M78,AS$13)="",10^12,OFFSET(CRONOPLE!$F$14,$M78,AS$13))))</f>
        <v>0</v>
      </c>
      <c r="AT78" s="216">
        <f ca="1">IF($D78&lt;&gt;"Serviço",0,IF(AND(AUTOEVENTO="Manual",$M78=1),0,IF(OFFSET(CRONOPLE!$F$14,$M78,AT$13)="",10^12,OFFSET(CRONOPLE!$F$14,$M78,AT$13))))</f>
        <v>0</v>
      </c>
      <c r="AU78" s="216">
        <f ca="1">IF($D78&lt;&gt;"Serviço",0,IF(AND(AUTOEVENTO="Manual",$M78=1),0,IF(OFFSET(CRONOPLE!$F$14,$M78,AU$13)="",10^12,OFFSET(CRONOPLE!$F$14,$M78,AU$13))))</f>
        <v>0</v>
      </c>
      <c r="AV78" s="216">
        <f ca="1">IF($D78&lt;&gt;"Serviço",0,IF(AND(AUTOEVENTO="Manual",$M78=1),0,IF(OFFSET(CRONOPLE!$F$14,$M78,AV$13)="",10^12,OFFSET(CRONOPLE!$F$14,$M78,AV$13))))</f>
        <v>0</v>
      </c>
      <c r="AX78" s="217">
        <f ca="1">IF($D78&lt;&gt;"Serviço",0,IF(OR(AND(AUTOEVENTO="Manual",$M78=1),$M78&gt;(ROW(PLE.lastrow)-ROW(PLE.firstrow))),0,IF(OFFSET(PLE!$G$14,$M78,AX$13)="",10^12,OFFSET(PLE!$G$14,$M78,AX$13))))</f>
        <v>0</v>
      </c>
      <c r="AY78" s="217">
        <f ca="1">IF($D78&lt;&gt;"Serviço",0,IF(OR(AND(AUTOEVENTO="Manual",$M78=1),$M78&gt;(ROW(PLE.lastrow)-ROW(PLE.firstrow))),0,IF(OFFSET(PLE!$G$14,$M78,AY$13)="",10^12,OFFSET(PLE!$G$14,$M78,AY$13))))</f>
        <v>0</v>
      </c>
      <c r="AZ78" s="217">
        <f ca="1">IF($D78&lt;&gt;"Serviço",0,IF(OR(AND(AUTOEVENTO="Manual",$M78=1),$M78&gt;(ROW(PLE.lastrow)-ROW(PLE.firstrow))),0,IF(OFFSET(PLE!$G$14,$M78,AZ$13)="",10^12,OFFSET(PLE!$G$14,$M78,AZ$13))))</f>
        <v>0</v>
      </c>
      <c r="BA78" s="217">
        <f ca="1">IF($D78&lt;&gt;"Serviço",0,IF(OR(AND(AUTOEVENTO="Manual",$M78=1),$M78&gt;(ROW(PLE.lastrow)-ROW(PLE.firstrow))),0,IF(OFFSET(PLE!$G$14,$M78,BA$13)="",10^12,OFFSET(PLE!$G$14,$M78,BA$13))))</f>
        <v>0</v>
      </c>
      <c r="BB78" s="217">
        <f ca="1">IF($D78&lt;&gt;"Serviço",0,IF(OR(AND(AUTOEVENTO="Manual",$M78=1),$M78&gt;(ROW(PLE.lastrow)-ROW(PLE.firstrow))),0,IF(OFFSET(PLE!$G$14,$M78,BB$13)="",10^12,OFFSET(PLE!$G$14,$M78,BB$13))))</f>
        <v>0</v>
      </c>
      <c r="BC78" s="217">
        <f ca="1">IF($D78&lt;&gt;"Serviço",0,IF(OR(AND(AUTOEVENTO="Manual",$M78=1),$M78&gt;(ROW(PLE.lastrow)-ROW(PLE.firstrow))),0,IF(OFFSET(PLE!$G$14,$M78,BC$13)="",10^12,OFFSET(PLE!$G$14,$M78,BC$13))))</f>
        <v>0</v>
      </c>
      <c r="BD78" s="217">
        <f ca="1">IF($D78&lt;&gt;"Serviço",0,IF(OR(AND(AUTOEVENTO="Manual",$M78=1),$M78&gt;(ROW(PLE.lastrow)-ROW(PLE.firstrow))),0,IF(OFFSET(PLE!$G$14,$M78,BD$13)="",10^12,OFFSET(PLE!$G$14,$M78,BD$13))))</f>
        <v>0</v>
      </c>
      <c r="BE78" s="217">
        <f ca="1">IF($D78&lt;&gt;"Serviço",0,IF(OR(AND(AUTOEVENTO="Manual",$M78=1),$M78&gt;(ROW(PLE.lastrow)-ROW(PLE.firstrow))),0,IF(OFFSET(PLE!$G$14,$M78,BE$13)="",10^12,OFFSET(PLE!$G$14,$M78,BE$13))))</f>
        <v>0</v>
      </c>
      <c r="BF78" s="217">
        <f ca="1">IF($D78&lt;&gt;"Serviço",0,IF(OR(AND(AUTOEVENTO="Manual",$M78=1),$M78&gt;(ROW(PLE.lastrow)-ROW(PLE.firstrow))),0,IF(OFFSET(PLE!$G$14,$M78,BF$13)="",10^12,OFFSET(PLE!$G$14,$M78,BF$13))))</f>
        <v>0</v>
      </c>
      <c r="BG78" s="217">
        <f ca="1">IF($D78&lt;&gt;"Serviço",0,IF(OR(AND(AUTOEVENTO="Manual",$M78=1),$M78&gt;(ROW(PLE.lastrow)-ROW(PLE.firstrow))),0,IF(OFFSET(PLE!$G$14,$M78,BG$13)="",10^12,OFFSET(PLE!$G$14,$M78,BG$13))))</f>
        <v>0</v>
      </c>
    </row>
    <row r="79" spans="1:59" ht="12.75" x14ac:dyDescent="0.2">
      <c r="A79" s="9" t="str">
        <f t="shared" ca="1" si="8"/>
        <v>64.</v>
      </c>
      <c r="B79" s="9">
        <f ca="1">OFFSET(ORÇAMENTO!C$15,ROW(B79)-ROW(B$15),0)</f>
        <v>2</v>
      </c>
      <c r="C79" s="9" t="str">
        <f ca="1">OFFSET(ORÇAMENTO!L$15,ROW(C79)-ROW(C$15),0)</f>
        <v>F</v>
      </c>
      <c r="D79" s="146" t="str">
        <f ca="1">OFFSET(ORÇAMENTO!N$15,ROW(D79)-ROW(D$15),0)</f>
        <v>Nível 2</v>
      </c>
      <c r="E79" s="206" t="str">
        <f ca="1">OFFSET(ORÇAMENTO!O$15,ROW(E79)-ROW(E$15),0)</f>
        <v>4.1.</v>
      </c>
      <c r="F79" s="207" t="str">
        <f ca="1">OFFSET(ORÇAMENTO!R$15,ROW(F79)-ROW(F$15),0)</f>
        <v>(SERVIÇOS INICIAIS)</v>
      </c>
      <c r="G79" s="208" t="str">
        <f ca="1">IF($D79&lt;&gt;"Serviço","",OFFSET(ORÇAMENTO!S$15,ROW(G79)-ROW(G$15),0))</f>
        <v/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 t="str">
        <f ca="1">IF($D79&lt;&gt;"Serviço","",IF(AUTOEVENTO="manual",$A79,IF(ISERROR(MATCH($A79,$A$15:OFFSET($A79,-1,0),0)),MAX($M$15:OFFSET(M79,-1,0))+1,INDEX($M$15:OFFSET(M79,-1,0),MATCH($A79,$A$15:OFFSET($A79,-1,0),0)))))</f>
        <v/>
      </c>
      <c r="N79" s="212" t="str">
        <f ca="1">IF($D79&lt;&gt;"Serviço","",IF(AUTOEVENTO="Manual",IF($A79=0,"&lt;-- defina o número do agrupador",OFFSET(EVENTOS!$D$14,$A79,0)),OFFSET($F$15,$A79,0)))</f>
        <v/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0</v>
      </c>
      <c r="AN79" s="216">
        <f ca="1">IF($D79&lt;&gt;"Serviço",0,IF(AND(AUTOEVENTO="Manual",$M79=1),0,IF(OFFSET(CRONOPLE!$F$14,$M79,AN$13)="",10^12,OFFSET(CRONOPLE!$F$14,$M79,AN$13))))</f>
        <v>0</v>
      </c>
      <c r="AO79" s="216">
        <f ca="1">IF($D79&lt;&gt;"Serviço",0,IF(AND(AUTOEVENTO="Manual",$M79=1),0,IF(OFFSET(CRONOPLE!$F$14,$M79,AO$13)="",10^12,OFFSET(CRONOPLE!$F$14,$M79,AO$13))))</f>
        <v>0</v>
      </c>
      <c r="AP79" s="216">
        <f ca="1">IF($D79&lt;&gt;"Serviço",0,IF(AND(AUTOEVENTO="Manual",$M79=1),0,IF(OFFSET(CRONOPLE!$F$14,$M79,AP$13)="",10^12,OFFSET(CRONOPLE!$F$14,$M79,AP$13))))</f>
        <v>0</v>
      </c>
      <c r="AQ79" s="216">
        <f ca="1">IF($D79&lt;&gt;"Serviço",0,IF(AND(AUTOEVENTO="Manual",$M79=1),0,IF(OFFSET(CRONOPLE!$F$14,$M79,AQ$13)="",10^12,OFFSET(CRONOPLE!$F$14,$M79,AQ$13))))</f>
        <v>0</v>
      </c>
      <c r="AR79" s="216">
        <f ca="1">IF($D79&lt;&gt;"Serviço",0,IF(AND(AUTOEVENTO="Manual",$M79=1),0,IF(OFFSET(CRONOPLE!$F$14,$M79,AR$13)="",10^12,OFFSET(CRONOPLE!$F$14,$M79,AR$13))))</f>
        <v>0</v>
      </c>
      <c r="AS79" s="216">
        <f ca="1">IF($D79&lt;&gt;"Serviço",0,IF(AND(AUTOEVENTO="Manual",$M79=1),0,IF(OFFSET(CRONOPLE!$F$14,$M79,AS$13)="",10^12,OFFSET(CRONOPLE!$F$14,$M79,AS$13))))</f>
        <v>0</v>
      </c>
      <c r="AT79" s="216">
        <f ca="1">IF($D79&lt;&gt;"Serviço",0,IF(AND(AUTOEVENTO="Manual",$M79=1),0,IF(OFFSET(CRONOPLE!$F$14,$M79,AT$13)="",10^12,OFFSET(CRONOPLE!$F$14,$M79,AT$13))))</f>
        <v>0</v>
      </c>
      <c r="AU79" s="216">
        <f ca="1">IF($D79&lt;&gt;"Serviço",0,IF(AND(AUTOEVENTO="Manual",$M79=1),0,IF(OFFSET(CRONOPLE!$F$14,$M79,AU$13)="",10^12,OFFSET(CRONOPLE!$F$14,$M79,AU$13))))</f>
        <v>0</v>
      </c>
      <c r="AV79" s="216">
        <f ca="1">IF($D79&lt;&gt;"Serviço",0,IF(AND(AUTOEVENTO="Manual",$M79=1),0,IF(OFFSET(CRONOPLE!$F$14,$M79,AV$13)="",10^12,OFFSET(CRONOPLE!$F$14,$M79,AV$13))))</f>
        <v>0</v>
      </c>
      <c r="AX79" s="217">
        <f ca="1">IF($D79&lt;&gt;"Serviço",0,IF(OR(AND(AUTOEVENTO="Manual",$M79=1),$M79&gt;(ROW(PLE.lastrow)-ROW(PLE.firstrow))),0,IF(OFFSET(PLE!$G$14,$M79,AX$13)="",10^12,OFFSET(PLE!$G$14,$M79,AX$13))))</f>
        <v>0</v>
      </c>
      <c r="AY79" s="217">
        <f ca="1">IF($D79&lt;&gt;"Serviço",0,IF(OR(AND(AUTOEVENTO="Manual",$M79=1),$M79&gt;(ROW(PLE.lastrow)-ROW(PLE.firstrow))),0,IF(OFFSET(PLE!$G$14,$M79,AY$13)="",10^12,OFFSET(PLE!$G$14,$M79,AY$13))))</f>
        <v>0</v>
      </c>
      <c r="AZ79" s="217">
        <f ca="1">IF($D79&lt;&gt;"Serviço",0,IF(OR(AND(AUTOEVENTO="Manual",$M79=1),$M79&gt;(ROW(PLE.lastrow)-ROW(PLE.firstrow))),0,IF(OFFSET(PLE!$G$14,$M79,AZ$13)="",10^12,OFFSET(PLE!$G$14,$M79,AZ$13))))</f>
        <v>0</v>
      </c>
      <c r="BA79" s="217">
        <f ca="1">IF($D79&lt;&gt;"Serviço",0,IF(OR(AND(AUTOEVENTO="Manual",$M79=1),$M79&gt;(ROW(PLE.lastrow)-ROW(PLE.firstrow))),0,IF(OFFSET(PLE!$G$14,$M79,BA$13)="",10^12,OFFSET(PLE!$G$14,$M79,BA$13))))</f>
        <v>0</v>
      </c>
      <c r="BB79" s="217">
        <f ca="1">IF($D79&lt;&gt;"Serviço",0,IF(OR(AND(AUTOEVENTO="Manual",$M79=1),$M79&gt;(ROW(PLE.lastrow)-ROW(PLE.firstrow))),0,IF(OFFSET(PLE!$G$14,$M79,BB$13)="",10^12,OFFSET(PLE!$G$14,$M79,BB$13))))</f>
        <v>0</v>
      </c>
      <c r="BC79" s="217">
        <f ca="1">IF($D79&lt;&gt;"Serviço",0,IF(OR(AND(AUTOEVENTO="Manual",$M79=1),$M79&gt;(ROW(PLE.lastrow)-ROW(PLE.firstrow))),0,IF(OFFSET(PLE!$G$14,$M79,BC$13)="",10^12,OFFSET(PLE!$G$14,$M79,BC$13))))</f>
        <v>0</v>
      </c>
      <c r="BD79" s="217">
        <f ca="1">IF($D79&lt;&gt;"Serviço",0,IF(OR(AND(AUTOEVENTO="Manual",$M79=1),$M79&gt;(ROW(PLE.lastrow)-ROW(PLE.firstrow))),0,IF(OFFSET(PLE!$G$14,$M79,BD$13)="",10^12,OFFSET(PLE!$G$14,$M79,BD$13))))</f>
        <v>0</v>
      </c>
      <c r="BE79" s="217">
        <f ca="1">IF($D79&lt;&gt;"Serviço",0,IF(OR(AND(AUTOEVENTO="Manual",$M79=1),$M79&gt;(ROW(PLE.lastrow)-ROW(PLE.firstrow))),0,IF(OFFSET(PLE!$G$14,$M79,BE$13)="",10^12,OFFSET(PLE!$G$14,$M79,BE$13))))</f>
        <v>0</v>
      </c>
      <c r="BF79" s="217">
        <f ca="1">IF($D79&lt;&gt;"Serviço",0,IF(OR(AND(AUTOEVENTO="Manual",$M79=1),$M79&gt;(ROW(PLE.lastrow)-ROW(PLE.firstrow))),0,IF(OFFSET(PLE!$G$14,$M79,BF$13)="",10^12,OFFSET(PLE!$G$14,$M79,BF$13))))</f>
        <v>0</v>
      </c>
      <c r="BG79" s="217">
        <f ca="1">IF($D79&lt;&gt;"Serviço",0,IF(OR(AND(AUTOEVENTO="Manual",$M79=1),$M79&gt;(ROW(PLE.lastrow)-ROW(PLE.firstrow))),0,IF(OFFSET(PLE!$G$14,$M79,BG$13)="",10^12,OFFSET(PLE!$G$14,$M79,BG$13))))</f>
        <v>0</v>
      </c>
    </row>
    <row r="80" spans="1:59" ht="38.2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64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4.1.1.</v>
      </c>
      <c r="F80" s="207" t="str">
        <f ca="1">OFFSET(ORÇAMENTO!R$15,ROW(F80)-ROW(F$15),0)</f>
        <v>PORTA DE MADEIRA PARA PINTURA, SEMI-OCA (PESADA OU SUPERPESADA), 80X210CM, ESPESSURA DE 3,5CM, INCLUSO DOBRADIÇAS - FORNECIMENTO E INSTALAÇÃO. AF_12/2019</v>
      </c>
      <c r="G80" s="208" t="str">
        <f ca="1">IF($D80&lt;&gt;"Serviço","",OFFSET(ORÇAMENTO!S$15,ROW(G80)-ROW(G$15),0))</f>
        <v>UN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2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5</v>
      </c>
      <c r="N80" s="212" t="str">
        <f ca="1">IF($D80&lt;&gt;"Serviço","",IF(AUTOEVENTO="Manual",IF($A80=0,"&lt;-- defina o número do agrupador",OFFSET(EVENTOS!$D$14,$A80,0)),OFFSET($F$15,$A80,0)))</f>
        <v>(SERVIÇOS INICIAIS)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64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5</v>
      </c>
      <c r="N81" s="212" t="str">
        <f ca="1">IF($D81&lt;&gt;"Serviço","",IF(AUTOEVENTO="Manual",IF($A81=0,"&lt;-- defina o número do agrupador",OFFSET(EVENTOS!$D$14,$A81,0)),OFFSET($F$15,$A81,0)))</f>
        <v>(SERVIÇOS INICIAIS)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38.25" x14ac:dyDescent="0.2">
      <c r="A82" s="9" t="str">
        <f t="shared" ca="1" si="9"/>
        <v>64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4.1.2.</v>
      </c>
      <c r="F82" s="207" t="str">
        <f ca="1">OFFSET(ORÇAMENTO!R$15,ROW(F82)-ROW(F$15),0)</f>
        <v>PORTA EM ALUMÍNIO DE ABRIR TIPO VENEZIANA COM GUARNIÇÃO, FIXAÇÃO COM PARAFUSOS - FORNECIMENTO E INSTALAÇÃO. AF_12/2019</v>
      </c>
      <c r="G82" s="208" t="str">
        <f ca="1">IF($D82&lt;&gt;"Serviço","",OFFSET(ORÇAMENTO!S$15,ROW(G82)-ROW(G$15),0))</f>
        <v>M2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1.68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5</v>
      </c>
      <c r="N82" s="212" t="str">
        <f ca="1">IF($D82&lt;&gt;"Serviço","",IF(AUTOEVENTO="Manual",IF($A82=0,"&lt;-- defina o número do agrupador",OFFSET(EVENTOS!$D$14,$A82,0)),OFFSET($F$15,$A82,0)))</f>
        <v>(SERVIÇOS INICIAIS)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64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5</v>
      </c>
      <c r="N83" s="212" t="str">
        <f ca="1">IF($D83&lt;&gt;"Serviço","",IF(AUTOEVENTO="Manual",IF($A83=0,"&lt;-- defina o número do agrupador",OFFSET(EVENTOS!$D$14,$A83,0)),OFFSET($F$15,$A83,0)))</f>
        <v>(SERVIÇOS INICIAIS)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64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5</v>
      </c>
      <c r="N84" s="212" t="str">
        <f ca="1">IF($D84&lt;&gt;"Serviço","",IF(AUTOEVENTO="Manual",IF($A84=0,"&lt;-- defina o número do agrupador",OFFSET(EVENTOS!$D$14,$A84,0)),OFFSET($F$15,$A84,0)))</f>
        <v>(SERVIÇOS INICIAIS)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64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5</v>
      </c>
      <c r="N85" s="212" t="str">
        <f ca="1">IF($D85&lt;&gt;"Serviço","",IF(AUTOEVENTO="Manual",IF($A85=0,"&lt;-- defina o número do agrupador",OFFSET(EVENTOS!$D$14,$A85,0)),OFFSET($F$15,$A85,0)))</f>
        <v>(SERVIÇOS INICIAIS)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64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5</v>
      </c>
      <c r="N86" s="212" t="str">
        <f ca="1">IF($D86&lt;&gt;"Serviço","",IF(AUTOEVENTO="Manual",IF($A86=0,"&lt;-- defina o número do agrupador",OFFSET(EVENTOS!$D$14,$A86,0)),OFFSET($F$15,$A86,0)))</f>
        <v>(SERVIÇOS INICIAIS)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64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5</v>
      </c>
      <c r="N87" s="212" t="str">
        <f ca="1">IF($D87&lt;&gt;"Serviço","",IF(AUTOEVENTO="Manual",IF($A87=0,"&lt;-- defina o número do agrupador",OFFSET(EVENTOS!$D$14,$A87,0)),OFFSET($F$15,$A87,0)))</f>
        <v>(SERVIÇOS INICIAIS)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64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5</v>
      </c>
      <c r="N88" s="212" t="str">
        <f ca="1">IF($D88&lt;&gt;"Serviço","",IF(AUTOEVENTO="Manual",IF($A88=0,"&lt;-- defina o número do agrupador",OFFSET(EVENTOS!$D$14,$A88,0)),OFFSET($F$15,$A88,0)))</f>
        <v>(SERVIÇOS INICIAIS)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64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5</v>
      </c>
      <c r="N89" s="212" t="str">
        <f ca="1">IF($D89&lt;&gt;"Serviço","",IF(AUTOEVENTO="Manual",IF($A89=0,"&lt;-- defina o número do agrupador",OFFSET(EVENTOS!$D$14,$A89,0)),OFFSET($F$15,$A89,0)))</f>
        <v>(SERVIÇOS INICIAIS)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64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5</v>
      </c>
      <c r="N90" s="212" t="str">
        <f ca="1">IF($D90&lt;&gt;"Serviço","",IF(AUTOEVENTO="Manual",IF($A90=0,"&lt;-- defina o número do agrupador",OFFSET(EVENTOS!$D$14,$A90,0)),OFFSET($F$15,$A90,0)))</f>
        <v>(SERVIÇOS INICIAIS)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64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5</v>
      </c>
      <c r="N91" s="212" t="str">
        <f ca="1">IF($D91&lt;&gt;"Serviço","",IF(AUTOEVENTO="Manual",IF($A91=0,"&lt;-- defina o número do agrupador",OFFSET(EVENTOS!$D$14,$A91,0)),OFFSET($F$15,$A91,0)))</f>
        <v>(SERVIÇOS INICIAIS)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64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5</v>
      </c>
      <c r="N92" s="212" t="str">
        <f ca="1">IF($D92&lt;&gt;"Serviço","",IF(AUTOEVENTO="Manual",IF($A92=0,"&lt;-- defina o número do agrupador",OFFSET(EVENTOS!$D$14,$A92,0)),OFFSET($F$15,$A92,0)))</f>
        <v>(SERVIÇOS INICIAIS)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64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5</v>
      </c>
      <c r="N93" s="212" t="str">
        <f ca="1">IF($D93&lt;&gt;"Serviço","",IF(AUTOEVENTO="Manual",IF($A93=0,"&lt;-- defina o número do agrupador",OFFSET(EVENTOS!$D$14,$A93,0)),OFFSET($F$15,$A93,0)))</f>
        <v>(SERVIÇOS INICIAIS)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64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5</v>
      </c>
      <c r="N94" s="212" t="str">
        <f ca="1">IF($D94&lt;&gt;"Serviço","",IF(AUTOEVENTO="Manual",IF($A94=0,"&lt;-- defina o número do agrupador",OFFSET(EVENTOS!$D$14,$A94,0)),OFFSET($F$15,$A94,0)))</f>
        <v>(SERVIÇOS INICIAIS)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80.</v>
      </c>
      <c r="B95" s="9">
        <f ca="1">OFFSET(ORÇAMENTO!C$15,ROW(B95)-ROW(B$15),0)</f>
        <v>1</v>
      </c>
      <c r="C95" s="9" t="str">
        <f ca="1">OFFSET(ORÇAMENTO!L$15,ROW(C95)-ROW(C$15),0)</f>
        <v>F</v>
      </c>
      <c r="D95" s="146" t="str">
        <f ca="1">OFFSET(ORÇAMENTO!N$15,ROW(D95)-ROW(D$15),0)</f>
        <v>Meta</v>
      </c>
      <c r="E95" s="206" t="str">
        <f ca="1">OFFSET(ORÇAMENTO!O$15,ROW(E95)-ROW(E$15),0)</f>
        <v>5.</v>
      </c>
      <c r="F95" s="207" t="str">
        <f ca="1">OFFSET(ORÇAMENTO!R$15,ROW(F95)-ROW(F$15),0)</f>
        <v>(COBERTURA)</v>
      </c>
      <c r="G95" s="208" t="str">
        <f ca="1">IF($D95&lt;&gt;"Serviço","",OFFSET(ORÇAMENTO!S$15,ROW(G95)-ROW(G$15),0))</f>
        <v/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 t="str">
        <f ca="1">IF($D95&lt;&gt;"Serviço","",IF(AUTOEVENTO="manual",$A95,IF(ISERROR(MATCH($A95,$A$15:OFFSET($A95,-1,0),0)),MAX($M$15:OFFSET(M95,-1,0))+1,INDEX($M$15:OFFSET(M95,-1,0),MATCH($A95,$A$15:OFFSET($A95,-1,0),0)))))</f>
        <v/>
      </c>
      <c r="N95" s="212" t="str">
        <f ca="1">IF($D95&lt;&gt;"Serviço","",IF(AUTOEVENTO="Manual",IF($A95=0,"&lt;-- defina o número do agrupador",OFFSET(EVENTOS!$D$14,$A95,0)),OFFSET($F$15,$A95,0)))</f>
        <v/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0</v>
      </c>
      <c r="AN95" s="216">
        <f ca="1">IF($D95&lt;&gt;"Serviço",0,IF(AND(AUTOEVENTO="Manual",$M95=1),0,IF(OFFSET(CRONOPLE!$F$14,$M95,AN$13)="",10^12,OFFSET(CRONOPLE!$F$14,$M95,AN$13))))</f>
        <v>0</v>
      </c>
      <c r="AO95" s="216">
        <f ca="1">IF($D95&lt;&gt;"Serviço",0,IF(AND(AUTOEVENTO="Manual",$M95=1),0,IF(OFFSET(CRONOPLE!$F$14,$M95,AO$13)="",10^12,OFFSET(CRONOPLE!$F$14,$M95,AO$13))))</f>
        <v>0</v>
      </c>
      <c r="AP95" s="216">
        <f ca="1">IF($D95&lt;&gt;"Serviço",0,IF(AND(AUTOEVENTO="Manual",$M95=1),0,IF(OFFSET(CRONOPLE!$F$14,$M95,AP$13)="",10^12,OFFSET(CRONOPLE!$F$14,$M95,AP$13))))</f>
        <v>0</v>
      </c>
      <c r="AQ95" s="216">
        <f ca="1">IF($D95&lt;&gt;"Serviço",0,IF(AND(AUTOEVENTO="Manual",$M95=1),0,IF(OFFSET(CRONOPLE!$F$14,$M95,AQ$13)="",10^12,OFFSET(CRONOPLE!$F$14,$M95,AQ$13))))</f>
        <v>0</v>
      </c>
      <c r="AR95" s="216">
        <f ca="1">IF($D95&lt;&gt;"Serviço",0,IF(AND(AUTOEVENTO="Manual",$M95=1),0,IF(OFFSET(CRONOPLE!$F$14,$M95,AR$13)="",10^12,OFFSET(CRONOPLE!$F$14,$M95,AR$13))))</f>
        <v>0</v>
      </c>
      <c r="AS95" s="216">
        <f ca="1">IF($D95&lt;&gt;"Serviço",0,IF(AND(AUTOEVENTO="Manual",$M95=1),0,IF(OFFSET(CRONOPLE!$F$14,$M95,AS$13)="",10^12,OFFSET(CRONOPLE!$F$14,$M95,AS$13))))</f>
        <v>0</v>
      </c>
      <c r="AT95" s="216">
        <f ca="1">IF($D95&lt;&gt;"Serviço",0,IF(AND(AUTOEVENTO="Manual",$M95=1),0,IF(OFFSET(CRONOPLE!$F$14,$M95,AT$13)="",10^12,OFFSET(CRONOPLE!$F$14,$M95,AT$13))))</f>
        <v>0</v>
      </c>
      <c r="AU95" s="216">
        <f ca="1">IF($D95&lt;&gt;"Serviço",0,IF(AND(AUTOEVENTO="Manual",$M95=1),0,IF(OFFSET(CRONOPLE!$F$14,$M95,AU$13)="",10^12,OFFSET(CRONOPLE!$F$14,$M95,AU$13))))</f>
        <v>0</v>
      </c>
      <c r="AV95" s="216">
        <f ca="1">IF($D95&lt;&gt;"Serviço",0,IF(AND(AUTOEVENTO="Manual",$M95=1),0,IF(OFFSET(CRONOPLE!$F$14,$M95,AV$13)="",10^12,OFFSET(CRONOPLE!$F$14,$M95,AV$13))))</f>
        <v>0</v>
      </c>
      <c r="AX95" s="217">
        <f ca="1">IF($D95&lt;&gt;"Serviço",0,IF(OR(AND(AUTOEVENTO="Manual",$M95=1),$M95&gt;(ROW(PLE.lastrow)-ROW(PLE.firstrow))),0,IF(OFFSET(PLE!$G$14,$M95,AX$13)="",10^12,OFFSET(PLE!$G$14,$M95,AX$13))))</f>
        <v>0</v>
      </c>
      <c r="AY95" s="217">
        <f ca="1">IF($D95&lt;&gt;"Serviço",0,IF(OR(AND(AUTOEVENTO="Manual",$M95=1),$M95&gt;(ROW(PLE.lastrow)-ROW(PLE.firstrow))),0,IF(OFFSET(PLE!$G$14,$M95,AY$13)="",10^12,OFFSET(PLE!$G$14,$M95,AY$13))))</f>
        <v>0</v>
      </c>
      <c r="AZ95" s="217">
        <f ca="1">IF($D95&lt;&gt;"Serviço",0,IF(OR(AND(AUTOEVENTO="Manual",$M95=1),$M95&gt;(ROW(PLE.lastrow)-ROW(PLE.firstrow))),0,IF(OFFSET(PLE!$G$14,$M95,AZ$13)="",10^12,OFFSET(PLE!$G$14,$M95,AZ$13))))</f>
        <v>0</v>
      </c>
      <c r="BA95" s="217">
        <f ca="1">IF($D95&lt;&gt;"Serviço",0,IF(OR(AND(AUTOEVENTO="Manual",$M95=1),$M95&gt;(ROW(PLE.lastrow)-ROW(PLE.firstrow))),0,IF(OFFSET(PLE!$G$14,$M95,BA$13)="",10^12,OFFSET(PLE!$G$14,$M95,BA$13))))</f>
        <v>0</v>
      </c>
      <c r="BB95" s="217">
        <f ca="1">IF($D95&lt;&gt;"Serviço",0,IF(OR(AND(AUTOEVENTO="Manual",$M95=1),$M95&gt;(ROW(PLE.lastrow)-ROW(PLE.firstrow))),0,IF(OFFSET(PLE!$G$14,$M95,BB$13)="",10^12,OFFSET(PLE!$G$14,$M95,BB$13))))</f>
        <v>0</v>
      </c>
      <c r="BC95" s="217">
        <f ca="1">IF($D95&lt;&gt;"Serviço",0,IF(OR(AND(AUTOEVENTO="Manual",$M95=1),$M95&gt;(ROW(PLE.lastrow)-ROW(PLE.firstrow))),0,IF(OFFSET(PLE!$G$14,$M95,BC$13)="",10^12,OFFSET(PLE!$G$14,$M95,BC$13))))</f>
        <v>0</v>
      </c>
      <c r="BD95" s="217">
        <f ca="1">IF($D95&lt;&gt;"Serviço",0,IF(OR(AND(AUTOEVENTO="Manual",$M95=1),$M95&gt;(ROW(PLE.lastrow)-ROW(PLE.firstrow))),0,IF(OFFSET(PLE!$G$14,$M95,BD$13)="",10^12,OFFSET(PLE!$G$14,$M95,BD$13))))</f>
        <v>0</v>
      </c>
      <c r="BE95" s="217">
        <f ca="1">IF($D95&lt;&gt;"Serviço",0,IF(OR(AND(AUTOEVENTO="Manual",$M95=1),$M95&gt;(ROW(PLE.lastrow)-ROW(PLE.firstrow))),0,IF(OFFSET(PLE!$G$14,$M95,BE$13)="",10^12,OFFSET(PLE!$G$14,$M95,BE$13))))</f>
        <v>0</v>
      </c>
      <c r="BF95" s="217">
        <f ca="1">IF($D95&lt;&gt;"Serviço",0,IF(OR(AND(AUTOEVENTO="Manual",$M95=1),$M95&gt;(ROW(PLE.lastrow)-ROW(PLE.firstrow))),0,IF(OFFSET(PLE!$G$14,$M95,BF$13)="",10^12,OFFSET(PLE!$G$14,$M95,BF$13))))</f>
        <v>0</v>
      </c>
      <c r="BG95" s="217">
        <f ca="1">IF($D95&lt;&gt;"Serviço",0,IF(OR(AND(AUTOEVENTO="Manual",$M95=1),$M95&gt;(ROW(PLE.lastrow)-ROW(PLE.firstrow))),0,IF(OFFSET(PLE!$G$14,$M95,BG$13)="",10^12,OFFSET(PLE!$G$14,$M95,BG$13))))</f>
        <v>0</v>
      </c>
    </row>
    <row r="96" spans="1:59" ht="12.75" x14ac:dyDescent="0.2">
      <c r="A96" s="9" t="str">
        <f t="shared" ca="1" si="9"/>
        <v>81.</v>
      </c>
      <c r="B96" s="9">
        <f ca="1">OFFSET(ORÇAMENTO!C$15,ROW(B96)-ROW(B$15),0)</f>
        <v>2</v>
      </c>
      <c r="C96" s="9" t="str">
        <f ca="1">OFFSET(ORÇAMENTO!L$15,ROW(C96)-ROW(C$15),0)</f>
        <v>F</v>
      </c>
      <c r="D96" s="146" t="str">
        <f ca="1">OFFSET(ORÇAMENTO!N$15,ROW(D96)-ROW(D$15),0)</f>
        <v>Nível 2</v>
      </c>
      <c r="E96" s="206" t="str">
        <f ca="1">OFFSET(ORÇAMENTO!O$15,ROW(E96)-ROW(E$15),0)</f>
        <v>5.1.</v>
      </c>
      <c r="F96" s="207" t="str">
        <f ca="1">OFFSET(ORÇAMENTO!R$15,ROW(F96)-ROW(F$15),0)</f>
        <v>(SERVIÇOS INICIAIS)</v>
      </c>
      <c r="G96" s="208" t="str">
        <f ca="1">IF($D96&lt;&gt;"Serviço","",OFFSET(ORÇAMENTO!S$15,ROW(G96)-ROW(G$15),0))</f>
        <v/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 t="str">
        <f ca="1">IF($D96&lt;&gt;"Serviço","",IF(AUTOEVENTO="manual",$A96,IF(ISERROR(MATCH($A96,$A$15:OFFSET($A96,-1,0),0)),MAX($M$15:OFFSET(M96,-1,0))+1,INDEX($M$15:OFFSET(M96,-1,0),MATCH($A96,$A$15:OFFSET($A96,-1,0),0)))))</f>
        <v/>
      </c>
      <c r="N96" s="212" t="str">
        <f ca="1">IF($D96&lt;&gt;"Serviço","",IF(AUTOEVENTO="Manual",IF($A96=0,"&lt;-- defina o número do agrupador",OFFSET(EVENTOS!$D$14,$A96,0)),OFFSET($F$15,$A96,0)))</f>
        <v/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0</v>
      </c>
      <c r="AN96" s="216">
        <f ca="1">IF($D96&lt;&gt;"Serviço",0,IF(AND(AUTOEVENTO="Manual",$M96=1),0,IF(OFFSET(CRONOPLE!$F$14,$M96,AN$13)="",10^12,OFFSET(CRONOPLE!$F$14,$M96,AN$13))))</f>
        <v>0</v>
      </c>
      <c r="AO96" s="216">
        <f ca="1">IF($D96&lt;&gt;"Serviço",0,IF(AND(AUTOEVENTO="Manual",$M96=1),0,IF(OFFSET(CRONOPLE!$F$14,$M96,AO$13)="",10^12,OFFSET(CRONOPLE!$F$14,$M96,AO$13))))</f>
        <v>0</v>
      </c>
      <c r="AP96" s="216">
        <f ca="1">IF($D96&lt;&gt;"Serviço",0,IF(AND(AUTOEVENTO="Manual",$M96=1),0,IF(OFFSET(CRONOPLE!$F$14,$M96,AP$13)="",10^12,OFFSET(CRONOPLE!$F$14,$M96,AP$13))))</f>
        <v>0</v>
      </c>
      <c r="AQ96" s="216">
        <f ca="1">IF($D96&lt;&gt;"Serviço",0,IF(AND(AUTOEVENTO="Manual",$M96=1),0,IF(OFFSET(CRONOPLE!$F$14,$M96,AQ$13)="",10^12,OFFSET(CRONOPLE!$F$14,$M96,AQ$13))))</f>
        <v>0</v>
      </c>
      <c r="AR96" s="216">
        <f ca="1">IF($D96&lt;&gt;"Serviço",0,IF(AND(AUTOEVENTO="Manual",$M96=1),0,IF(OFFSET(CRONOPLE!$F$14,$M96,AR$13)="",10^12,OFFSET(CRONOPLE!$F$14,$M96,AR$13))))</f>
        <v>0</v>
      </c>
      <c r="AS96" s="216">
        <f ca="1">IF($D96&lt;&gt;"Serviço",0,IF(AND(AUTOEVENTO="Manual",$M96=1),0,IF(OFFSET(CRONOPLE!$F$14,$M96,AS$13)="",10^12,OFFSET(CRONOPLE!$F$14,$M96,AS$13))))</f>
        <v>0</v>
      </c>
      <c r="AT96" s="216">
        <f ca="1">IF($D96&lt;&gt;"Serviço",0,IF(AND(AUTOEVENTO="Manual",$M96=1),0,IF(OFFSET(CRONOPLE!$F$14,$M96,AT$13)="",10^12,OFFSET(CRONOPLE!$F$14,$M96,AT$13))))</f>
        <v>0</v>
      </c>
      <c r="AU96" s="216">
        <f ca="1">IF($D96&lt;&gt;"Serviço",0,IF(AND(AUTOEVENTO="Manual",$M96=1),0,IF(OFFSET(CRONOPLE!$F$14,$M96,AU$13)="",10^12,OFFSET(CRONOPLE!$F$14,$M96,AU$13))))</f>
        <v>0</v>
      </c>
      <c r="AV96" s="216">
        <f ca="1">IF($D96&lt;&gt;"Serviço",0,IF(AND(AUTOEVENTO="Manual",$M96=1),0,IF(OFFSET(CRONOPLE!$F$14,$M96,AV$13)="",10^12,OFFSET(CRONOPLE!$F$14,$M96,AV$13))))</f>
        <v>0</v>
      </c>
      <c r="AX96" s="217">
        <f ca="1">IF($D96&lt;&gt;"Serviço",0,IF(OR(AND(AUTOEVENTO="Manual",$M96=1),$M96&gt;(ROW(PLE.lastrow)-ROW(PLE.firstrow))),0,IF(OFFSET(PLE!$G$14,$M96,AX$13)="",10^12,OFFSET(PLE!$G$14,$M96,AX$13))))</f>
        <v>0</v>
      </c>
      <c r="AY96" s="217">
        <f ca="1">IF($D96&lt;&gt;"Serviço",0,IF(OR(AND(AUTOEVENTO="Manual",$M96=1),$M96&gt;(ROW(PLE.lastrow)-ROW(PLE.firstrow))),0,IF(OFFSET(PLE!$G$14,$M96,AY$13)="",10^12,OFFSET(PLE!$G$14,$M96,AY$13))))</f>
        <v>0</v>
      </c>
      <c r="AZ96" s="217">
        <f ca="1">IF($D96&lt;&gt;"Serviço",0,IF(OR(AND(AUTOEVENTO="Manual",$M96=1),$M96&gt;(ROW(PLE.lastrow)-ROW(PLE.firstrow))),0,IF(OFFSET(PLE!$G$14,$M96,AZ$13)="",10^12,OFFSET(PLE!$G$14,$M96,AZ$13))))</f>
        <v>0</v>
      </c>
      <c r="BA96" s="217">
        <f ca="1">IF($D96&lt;&gt;"Serviço",0,IF(OR(AND(AUTOEVENTO="Manual",$M96=1),$M96&gt;(ROW(PLE.lastrow)-ROW(PLE.firstrow))),0,IF(OFFSET(PLE!$G$14,$M96,BA$13)="",10^12,OFFSET(PLE!$G$14,$M96,BA$13))))</f>
        <v>0</v>
      </c>
      <c r="BB96" s="217">
        <f ca="1">IF($D96&lt;&gt;"Serviço",0,IF(OR(AND(AUTOEVENTO="Manual",$M96=1),$M96&gt;(ROW(PLE.lastrow)-ROW(PLE.firstrow))),0,IF(OFFSET(PLE!$G$14,$M96,BB$13)="",10^12,OFFSET(PLE!$G$14,$M96,BB$13))))</f>
        <v>0</v>
      </c>
      <c r="BC96" s="217">
        <f ca="1">IF($D96&lt;&gt;"Serviço",0,IF(OR(AND(AUTOEVENTO="Manual",$M96=1),$M96&gt;(ROW(PLE.lastrow)-ROW(PLE.firstrow))),0,IF(OFFSET(PLE!$G$14,$M96,BC$13)="",10^12,OFFSET(PLE!$G$14,$M96,BC$13))))</f>
        <v>0</v>
      </c>
      <c r="BD96" s="217">
        <f ca="1">IF($D96&lt;&gt;"Serviço",0,IF(OR(AND(AUTOEVENTO="Manual",$M96=1),$M96&gt;(ROW(PLE.lastrow)-ROW(PLE.firstrow))),0,IF(OFFSET(PLE!$G$14,$M96,BD$13)="",10^12,OFFSET(PLE!$G$14,$M96,BD$13))))</f>
        <v>0</v>
      </c>
      <c r="BE96" s="217">
        <f ca="1">IF($D96&lt;&gt;"Serviço",0,IF(OR(AND(AUTOEVENTO="Manual",$M96=1),$M96&gt;(ROW(PLE.lastrow)-ROW(PLE.firstrow))),0,IF(OFFSET(PLE!$G$14,$M96,BE$13)="",10^12,OFFSET(PLE!$G$14,$M96,BE$13))))</f>
        <v>0</v>
      </c>
      <c r="BF96" s="217">
        <f ca="1">IF($D96&lt;&gt;"Serviço",0,IF(OR(AND(AUTOEVENTO="Manual",$M96=1),$M96&gt;(ROW(PLE.lastrow)-ROW(PLE.firstrow))),0,IF(OFFSET(PLE!$G$14,$M96,BF$13)="",10^12,OFFSET(PLE!$G$14,$M96,BF$13))))</f>
        <v>0</v>
      </c>
      <c r="BG96" s="217">
        <f ca="1">IF($D96&lt;&gt;"Serviço",0,IF(OR(AND(AUTOEVENTO="Manual",$M96=1),$M96&gt;(ROW(PLE.lastrow)-ROW(PLE.firstrow))),0,IF(OFFSET(PLE!$G$14,$M96,BG$13)="",10^12,OFFSET(PLE!$G$14,$M96,BG$13))))</f>
        <v>0</v>
      </c>
    </row>
    <row r="97" spans="1:59" ht="38.25" x14ac:dyDescent="0.2">
      <c r="A97" s="9" t="str">
        <f t="shared" ca="1" si="9"/>
        <v>81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6" t="str">
        <f ca="1">OFFSET(ORÇAMENTO!N$15,ROW(D97)-ROW(D$15),0)</f>
        <v>Serviço</v>
      </c>
      <c r="E97" s="206" t="str">
        <f ca="1">OFFSET(ORÇAMENTO!O$15,ROW(E97)-ROW(E$15),0)</f>
        <v>5.1.1.</v>
      </c>
      <c r="F97" s="207" t="str">
        <f ca="1">OFFSET(ORÇAMENTO!R$15,ROW(F97)-ROW(F$15),0)</f>
        <v>RETIRADA E RECOLOCAÇÃO DE CAIBRO EM TELHADOS DE ATÉ 2 ÁGUAS COM TELHA CERÂMICA OU DE CONCRETO DE ENCAIXE, INCLUSO TRANSPORTE VERTICAL. AF_07/2019</v>
      </c>
      <c r="G97" s="208" t="str">
        <f ca="1">IF($D97&lt;&gt;"Serviço","",OFFSET(ORÇAMENTO!S$15,ROW(G97)-ROW(G$15),0))</f>
        <v>M2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90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(SERVIÇOS INICIAIS)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51" x14ac:dyDescent="0.2">
      <c r="A98" s="9" t="str">
        <f t="shared" ca="1" si="9"/>
        <v>81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6" t="str">
        <f ca="1">OFFSET(ORÇAMENTO!N$15,ROW(D98)-ROW(D$15),0)</f>
        <v>Serviço</v>
      </c>
      <c r="E98" s="206" t="str">
        <f ca="1">OFFSET(ORÇAMENTO!O$15,ROW(E98)-ROW(E$15),0)</f>
        <v>5.1.2.</v>
      </c>
      <c r="F98" s="207" t="str">
        <f ca="1">OFFSET(ORÇAMENTO!R$15,ROW(F98)-ROW(F$15),0)</f>
        <v>TELHAMENTO COM TELHA ONDULADA DE FIBROCIMENTO E = 6 MM, COM RECOBRIMENTO LATERAL DE 1/4 DE ONDA PARA TELHADO COM INCLINAÇÃO MAIOR QUE 10°, COM ATÉ 2 ÁGUAS, INCLUSO IÇAMENTO. AF_07/2019</v>
      </c>
      <c r="G98" s="208" t="str">
        <f ca="1">IF($D98&lt;&gt;"Serviço","",OFFSET(ORÇAMENTO!S$15,ROW(G98)-ROW(G$15),0))</f>
        <v>M2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136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(SERVIÇOS INICIAIS)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38.25" x14ac:dyDescent="0.2">
      <c r="A99" s="9" t="str">
        <f t="shared" ca="1" si="9"/>
        <v>81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6" t="str">
        <f ca="1">OFFSET(ORÇAMENTO!N$15,ROW(D99)-ROW(D$15),0)</f>
        <v>Serviço</v>
      </c>
      <c r="E99" s="206" t="str">
        <f ca="1">OFFSET(ORÇAMENTO!O$15,ROW(E99)-ROW(E$15),0)</f>
        <v>5.1.3.</v>
      </c>
      <c r="F99" s="207" t="str">
        <f ca="1">OFFSET(ORÇAMENTO!R$15,ROW(F99)-ROW(F$15),0)</f>
        <v>CALHA EM CHAPA DE AÇO GALVANIZADO NÚMERO 24, DESENVOLVIMENTO DE 100 CM, INCLUSO TRANSPORTE VERTICAL. AF_07/2019</v>
      </c>
      <c r="G99" s="208" t="str">
        <f ca="1">IF($D99&lt;&gt;"Serviço","",OFFSET(ORÇAMENTO!S$15,ROW(G99)-ROW(G$15),0))</f>
        <v>M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35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(SERVIÇOS INICIAIS)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81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(SERVIÇOS INICIAIS)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81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(SERVIÇOS INICIAIS)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81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(SERVIÇOS INICIAIS)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81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(SERVIÇOS INICIAIS)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81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(SERVIÇOS INICIAIS)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81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(SERVIÇOS INICIAIS)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81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(SERVIÇOS INICIAIS)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81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(SERVIÇOS INICIAIS)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81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(SERVIÇOS INICIAIS)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81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(SERVIÇOS INICIAIS)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81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>
        <f ca="1">OFFSET(ORÇAMENTO!R$15,ROW(F110)-ROW(F$15),0)</f>
        <v>0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(SERVIÇOS INICIAIS)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81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>
        <f ca="1">OFFSET(ORÇAMENTO!R$15,ROW(F111)-ROW(F$15),0)</f>
        <v>0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(SERVIÇOS INICIAIS)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81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(SERVIÇOS INICIAIS)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81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(SERVIÇOS INICIAIS)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81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(SERVIÇOS INICIAIS)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81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(SERVIÇOS INICIAIS)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81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(SERVIÇOS INICIAIS)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81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(SERVIÇOS INICIAIS)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81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(SERVIÇOS INICIAIS)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81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(SERVIÇOS INICIAIS)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81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(SERVIÇOS INICIAIS)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81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(SERVIÇOS INICIAIS)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81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(SERVIÇOS INICIAIS)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81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(SERVIÇOS INICIAIS)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81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(SERVIÇOS INICIAIS)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81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(SERVIÇOS INICIAIS)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81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(SERVIÇOS INICIAIS)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81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(SERVIÇOS INICIAIS)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81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(SERVIÇOS INICIAIS)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81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(SERVIÇOS INICIAIS)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81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(SERVIÇOS INICIAIS)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81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>
        <f ca="1">OFFSET(ORÇAMENTO!R$15,ROW(F131)-ROW(F$15),0)</f>
        <v>0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(SERVIÇOS INICIAIS)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81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>
        <f ca="1">OFFSET(ORÇAMENTO!R$15,ROW(F132)-ROW(F$15),0)</f>
        <v>0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(SERVIÇOS INICIAIS)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81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(SERVIÇOS INICIAIS)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81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(SERVIÇOS INICIAIS)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81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(SERVIÇOS INICIAIS)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81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(SERVIÇOS INICIAIS)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81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(SERVIÇOS INICIAIS)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81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(SERVIÇOS INICIAIS)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81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(SERVIÇOS INICIAIS)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81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(SERVIÇOS INICIAIS)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81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(SERVIÇOS INICIAIS)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81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(SERVIÇOS INICIAIS)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81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(SERVIÇOS INICIAIS)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81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(SERVIÇOS INICIAIS)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81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(SERVIÇOS INICIAIS)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81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(SERVIÇOS INICIAIS)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81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(SERVIÇOS INICIAIS)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81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(SERVIÇOS INICIAIS)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81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(SERVIÇOS INICIAIS)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81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(SERVIÇOS INICIAIS)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81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(SERVIÇOS INICIAIS)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81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2" t="str">
        <f ca="1">IF($D152&lt;&gt;"Serviço","",IF(AUTOEVENTO="Manual",IF($A152=0,"&lt;-- defina o número do agrupador",OFFSET(EVENTOS!$D$14,$A152,0)),OFFSET($F$15,$A152,0)))</f>
        <v>(SERVIÇOS INICIAIS)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81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2" t="str">
        <f ca="1">IF($D153&lt;&gt;"Serviço","",IF(AUTOEVENTO="Manual",IF($A153=0,"&lt;-- defina o número do agrupador",OFFSET(EVENTOS!$D$14,$A153,0)),OFFSET($F$15,$A153,0)))</f>
        <v>(SERVIÇOS INICIAIS)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81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2" t="str">
        <f ca="1">IF($D154&lt;&gt;"Serviço","",IF(AUTOEVENTO="Manual",IF($A154=0,"&lt;-- defina o número do agrupador",OFFSET(EVENTOS!$D$14,$A154,0)),OFFSET($F$15,$A154,0)))</f>
        <v>(SERVIÇOS INICIAIS)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81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2" t="str">
        <f ca="1">IF($D155&lt;&gt;"Serviço","",IF(AUTOEVENTO="Manual",IF($A155=0,"&lt;-- defina o número do agrupador",OFFSET(EVENTOS!$D$14,$A155,0)),OFFSET($F$15,$A155,0)))</f>
        <v>(SERVIÇOS INICIAIS)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81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2" t="str">
        <f ca="1">IF($D156&lt;&gt;"Serviço","",IF(AUTOEVENTO="Manual",IF($A156=0,"&lt;-- defina o número do agrupador",OFFSET(EVENTOS!$D$14,$A156,0)),OFFSET($F$15,$A156,0)))</f>
        <v>(SERVIÇOS INICIAIS)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81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2" t="str">
        <f ca="1">IF($D157&lt;&gt;"Serviço","",IF(AUTOEVENTO="Manual",IF($A157=0,"&lt;-- defina o número do agrupador",OFFSET(EVENTOS!$D$14,$A157,0)),OFFSET($F$15,$A157,0)))</f>
        <v>(SERVIÇOS INICIAIS)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81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2" t="str">
        <f ca="1">IF($D158&lt;&gt;"Serviço","",IF(AUTOEVENTO="Manual",IF($A158=0,"&lt;-- defina o número do agrupador",OFFSET(EVENTOS!$D$14,$A158,0)),OFFSET($F$15,$A158,0)))</f>
        <v>(SERVIÇOS INICIAIS)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81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2" t="str">
        <f ca="1">IF($D159&lt;&gt;"Serviço","",IF(AUTOEVENTO="Manual",IF($A159=0,"&lt;-- defina o número do agrupador",OFFSET(EVENTOS!$D$14,$A159,0)),OFFSET($F$15,$A159,0)))</f>
        <v>(SERVIÇOS INICIAIS)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81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2" t="str">
        <f ca="1">IF($D160&lt;&gt;"Serviço","",IF(AUTOEVENTO="Manual",IF($A160=0,"&lt;-- defina o número do agrupador",OFFSET(EVENTOS!$D$14,$A160,0)),OFFSET($F$15,$A160,0)))</f>
        <v>(SERVIÇOS INICIAIS)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81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2" t="str">
        <f ca="1">IF($D161&lt;&gt;"Serviço","",IF(AUTOEVENTO="Manual",IF($A161=0,"&lt;-- defina o número do agrupador",OFFSET(EVENTOS!$D$14,$A161,0)),OFFSET($F$15,$A161,0)))</f>
        <v>(SERVIÇOS INICIAIS)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81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2" t="str">
        <f ca="1">IF($D162&lt;&gt;"Serviço","",IF(AUTOEVENTO="Manual",IF($A162=0,"&lt;-- defina o número do agrupador",OFFSET(EVENTOS!$D$14,$A162,0)),OFFSET($F$15,$A162,0)))</f>
        <v>(SERVIÇOS INICIAIS)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81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2" t="str">
        <f ca="1">IF($D163&lt;&gt;"Serviço","",IF(AUTOEVENTO="Manual",IF($A163=0,"&lt;-- defina o número do agrupador",OFFSET(EVENTOS!$D$14,$A163,0)),OFFSET($F$15,$A163,0)))</f>
        <v>(SERVIÇOS INICIAIS)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81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2" t="str">
        <f ca="1">IF($D164&lt;&gt;"Serviço","",IF(AUTOEVENTO="Manual",IF($A164=0,"&lt;-- defina o número do agrupador",OFFSET(EVENTOS!$D$14,$A164,0)),OFFSET($F$15,$A164,0)))</f>
        <v>(SERVIÇOS INICIAIS)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81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2" t="str">
        <f ca="1">IF($D165&lt;&gt;"Serviço","",IF(AUTOEVENTO="Manual",IF($A165=0,"&lt;-- defina o número do agrupador",OFFSET(EVENTOS!$D$14,$A165,0)),OFFSET($F$15,$A165,0)))</f>
        <v>(SERVIÇOS INICIAIS)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81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2" t="str">
        <f ca="1">IF($D166&lt;&gt;"Serviço","",IF(AUTOEVENTO="Manual",IF($A166=0,"&lt;-- defina o número do agrupador",OFFSET(EVENTOS!$D$14,$A166,0)),OFFSET($F$15,$A166,0)))</f>
        <v>(SERVIÇOS INICIAIS)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81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2" t="str">
        <f ca="1">IF($D167&lt;&gt;"Serviço","",IF(AUTOEVENTO="Manual",IF($A167=0,"&lt;-- defina o número do agrupador",OFFSET(EVENTOS!$D$14,$A167,0)),OFFSET($F$15,$A167,0)))</f>
        <v>(SERVIÇOS INICIAIS)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81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2" t="str">
        <f ca="1">IF($D168&lt;&gt;"Serviço","",IF(AUTOEVENTO="Manual",IF($A168=0,"&lt;-- defina o número do agrupador",OFFSET(EVENTOS!$D$14,$A168,0)),OFFSET($F$15,$A168,0)))</f>
        <v>(SERVIÇOS INICIAIS)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81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2" t="str">
        <f ca="1">IF($D169&lt;&gt;"Serviço","",IF(AUTOEVENTO="Manual",IF($A169=0,"&lt;-- defina o número do agrupador",OFFSET(EVENTOS!$D$14,$A169,0)),OFFSET($F$15,$A169,0)))</f>
        <v>(SERVIÇOS INICIAIS)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81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2" t="str">
        <f ca="1">IF($D170&lt;&gt;"Serviço","",IF(AUTOEVENTO="Manual",IF($A170=0,"&lt;-- defina o número do agrupador",OFFSET(EVENTOS!$D$14,$A170,0)),OFFSET($F$15,$A170,0)))</f>
        <v>(SERVIÇOS INICIAIS)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81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2" t="str">
        <f ca="1">IF($D171&lt;&gt;"Serviço","",IF(AUTOEVENTO="Manual",IF($A171=0,"&lt;-- defina o número do agrupador",OFFSET(EVENTOS!$D$14,$A171,0)),OFFSET($F$15,$A171,0)))</f>
        <v>(SERVIÇOS INICIAIS)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81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2" t="str">
        <f ca="1">IF($D172&lt;&gt;"Serviço","",IF(AUTOEVENTO="Manual",IF($A172=0,"&lt;-- defina o número do agrupador",OFFSET(EVENTOS!$D$14,$A172,0)),OFFSET($F$15,$A172,0)))</f>
        <v>(SERVIÇOS INICIAIS)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81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2" t="str">
        <f ca="1">IF($D173&lt;&gt;"Serviço","",IF(AUTOEVENTO="Manual",IF($A173=0,"&lt;-- defina o número do agrupador",OFFSET(EVENTOS!$D$14,$A173,0)),OFFSET($F$15,$A173,0)))</f>
        <v>(SERVIÇOS INICIAIS)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81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2" t="str">
        <f ca="1">IF($D174&lt;&gt;"Serviço","",IF(AUTOEVENTO="Manual",IF($A174=0,"&lt;-- defina o número do agrupador",OFFSET(EVENTOS!$D$14,$A174,0)),OFFSET($F$15,$A174,0)))</f>
        <v>(SERVIÇOS INICIAIS)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81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2" t="str">
        <f ca="1">IF($D175&lt;&gt;"Serviço","",IF(AUTOEVENTO="Manual",IF($A175=0,"&lt;-- defina o número do agrupador",OFFSET(EVENTOS!$D$14,$A175,0)),OFFSET($F$15,$A175,0)))</f>
        <v>(SERVIÇOS INICIAIS)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81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2" t="str">
        <f ca="1">IF($D176&lt;&gt;"Serviço","",IF(AUTOEVENTO="Manual",IF($A176=0,"&lt;-- defina o número do agrupador",OFFSET(EVENTOS!$D$14,$A176,0)),OFFSET($F$15,$A176,0)))</f>
        <v>(SERVIÇOS INICIAIS)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81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2" t="str">
        <f ca="1">IF($D177&lt;&gt;"Serviço","",IF(AUTOEVENTO="Manual",IF($A177=0,"&lt;-- defina o número do agrupador",OFFSET(EVENTOS!$D$14,$A177,0)),OFFSET($F$15,$A177,0)))</f>
        <v>(SERVIÇOS INICIAIS)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81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2" t="str">
        <f ca="1">IF($D178&lt;&gt;"Serviço","",IF(AUTOEVENTO="Manual",IF($A178=0,"&lt;-- defina o número do agrupador",OFFSET(EVENTOS!$D$14,$A178,0)),OFFSET($F$15,$A178,0)))</f>
        <v>(SERVIÇOS INICIAIS)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81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2" t="str">
        <f ca="1">IF($D179&lt;&gt;"Serviço","",IF(AUTOEVENTO="Manual",IF($A179=0,"&lt;-- defina o número do agrupador",OFFSET(EVENTOS!$D$14,$A179,0)),OFFSET($F$15,$A179,0)))</f>
        <v>(SERVIÇOS INICIAIS)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81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2" t="str">
        <f ca="1">IF($D180&lt;&gt;"Serviço","",IF(AUTOEVENTO="Manual",IF($A180=0,"&lt;-- defina o número do agrupador",OFFSET(EVENTOS!$D$14,$A180,0)),OFFSET($F$15,$A180,0)))</f>
        <v>(SERVIÇOS INICIAIS)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81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2" t="str">
        <f ca="1">IF($D181&lt;&gt;"Serviço","",IF(AUTOEVENTO="Manual",IF($A181=0,"&lt;-- defina o número do agrupador",OFFSET(EVENTOS!$D$14,$A181,0)),OFFSET($F$15,$A181,0)))</f>
        <v>(SERVIÇOS INICIAIS)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81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2" t="str">
        <f ca="1">IF($D182&lt;&gt;"Serviço","",IF(AUTOEVENTO="Manual",IF($A182=0,"&lt;-- defina o número do agrupador",OFFSET(EVENTOS!$D$14,$A182,0)),OFFSET($F$15,$A182,0)))</f>
        <v>(SERVIÇOS INICIAIS)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81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2" t="str">
        <f ca="1">IF($D183&lt;&gt;"Serviço","",IF(AUTOEVENTO="Manual",IF($A183=0,"&lt;-- defina o número do agrupador",OFFSET(EVENTOS!$D$14,$A183,0)),OFFSET($F$15,$A183,0)))</f>
        <v>(SERVIÇOS INICIAIS)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81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2" t="str">
        <f ca="1">IF($D184&lt;&gt;"Serviço","",IF(AUTOEVENTO="Manual",IF($A184=0,"&lt;-- defina o número do agrupador",OFFSET(EVENTOS!$D$14,$A184,0)),OFFSET($F$15,$A184,0)))</f>
        <v>(SERVIÇOS INICIAIS)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81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2" t="str">
        <f ca="1">IF($D185&lt;&gt;"Serviço","",IF(AUTOEVENTO="Manual",IF($A185=0,"&lt;-- defina o número do agrupador",OFFSET(EVENTOS!$D$14,$A185,0)),OFFSET($F$15,$A185,0)))</f>
        <v>(SERVIÇOS INICIAIS)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81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2" t="str">
        <f ca="1">IF($D186&lt;&gt;"Serviço","",IF(AUTOEVENTO="Manual",IF($A186=0,"&lt;-- defina o número do agrupador",OFFSET(EVENTOS!$D$14,$A186,0)),OFFSET($F$15,$A186,0)))</f>
        <v>(SERVIÇOS INICIAIS)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81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2" t="str">
        <f ca="1">IF($D187&lt;&gt;"Serviço","",IF(AUTOEVENTO="Manual",IF($A187=0,"&lt;-- defina o número do agrupador",OFFSET(EVENTOS!$D$14,$A187,0)),OFFSET($F$15,$A187,0)))</f>
        <v>(SERVIÇOS INICIAIS)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81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2" t="str">
        <f ca="1">IF($D188&lt;&gt;"Serviço","",IF(AUTOEVENTO="Manual",IF($A188=0,"&lt;-- defina o número do agrupador",OFFSET(EVENTOS!$D$14,$A188,0)),OFFSET($F$15,$A188,0)))</f>
        <v>(SERVIÇOS INICIAIS)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81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2" t="str">
        <f ca="1">IF($D189&lt;&gt;"Serviço","",IF(AUTOEVENTO="Manual",IF($A189=0,"&lt;-- defina o número do agrupador",OFFSET(EVENTOS!$D$14,$A189,0)),OFFSET($F$15,$A189,0)))</f>
        <v>(SERVIÇOS INICIAIS)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81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2" t="str">
        <f ca="1">IF($D190&lt;&gt;"Serviço","",IF(AUTOEVENTO="Manual",IF($A190=0,"&lt;-- defina o número do agrupador",OFFSET(EVENTOS!$D$14,$A190,0)),OFFSET($F$15,$A190,0)))</f>
        <v>(SERVIÇOS INICIAIS)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81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2" t="str">
        <f ca="1">IF($D191&lt;&gt;"Serviço","",IF(AUTOEVENTO="Manual",IF($A191=0,"&lt;-- defina o número do agrupador",OFFSET(EVENTOS!$D$14,$A191,0)),OFFSET($F$15,$A191,0)))</f>
        <v>(SERVIÇOS INICIAIS)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81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2" t="str">
        <f ca="1">IF($D192&lt;&gt;"Serviço","",IF(AUTOEVENTO="Manual",IF($A192=0,"&lt;-- defina o número do agrupador",OFFSET(EVENTOS!$D$14,$A192,0)),OFFSET($F$15,$A192,0)))</f>
        <v>(SERVIÇOS INICIAIS)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81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2" t="str">
        <f ca="1">IF($D193&lt;&gt;"Serviço","",IF(AUTOEVENTO="Manual",IF($A193=0,"&lt;-- defina o número do agrupador",OFFSET(EVENTOS!$D$14,$A193,0)),OFFSET($F$15,$A193,0)))</f>
        <v>(SERVIÇOS INICIAIS)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81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2" t="str">
        <f ca="1">IF($D194&lt;&gt;"Serviço","",IF(AUTOEVENTO="Manual",IF($A194=0,"&lt;-- defina o número do agrupador",OFFSET(EVENTOS!$D$14,$A194,0)),OFFSET($F$15,$A194,0)))</f>
        <v>(SERVIÇOS INICIAIS)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81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2" t="str">
        <f ca="1">IF($D195&lt;&gt;"Serviço","",IF(AUTOEVENTO="Manual",IF($A195=0,"&lt;-- defina o número do agrupador",OFFSET(EVENTOS!$D$14,$A195,0)),OFFSET($F$15,$A195,0)))</f>
        <v>(SERVIÇOS INICIAIS)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81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2" t="str">
        <f ca="1">IF($D196&lt;&gt;"Serviço","",IF(AUTOEVENTO="Manual",IF($A196=0,"&lt;-- defina o número do agrupador",OFFSET(EVENTOS!$D$14,$A196,0)),OFFSET($F$15,$A196,0)))</f>
        <v>(SERVIÇOS INICIAIS)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81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2" t="str">
        <f ca="1">IF($D197&lt;&gt;"Serviço","",IF(AUTOEVENTO="Manual",IF($A197=0,"&lt;-- defina o número do agrupador",OFFSET(EVENTOS!$D$14,$A197,0)),OFFSET($F$15,$A197,0)))</f>
        <v>(SERVIÇOS INICIAIS)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81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2" t="str">
        <f ca="1">IF($D198&lt;&gt;"Serviço","",IF(AUTOEVENTO="Manual",IF($A198=0,"&lt;-- defina o número do agrupador",OFFSET(EVENTOS!$D$14,$A198,0)),OFFSET($F$15,$A198,0)))</f>
        <v>(SERVIÇOS INICIAIS)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81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2" t="str">
        <f ca="1">IF($D199&lt;&gt;"Serviço","",IF(AUTOEVENTO="Manual",IF($A199=0,"&lt;-- defina o número do agrupador",OFFSET(EVENTOS!$D$14,$A199,0)),OFFSET($F$15,$A199,0)))</f>
        <v>(SERVIÇOS INICIAIS)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81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2" t="str">
        <f ca="1">IF($D200&lt;&gt;"Serviço","",IF(AUTOEVENTO="Manual",IF($A200=0,"&lt;-- defina o número do agrupador",OFFSET(EVENTOS!$D$14,$A200,0)),OFFSET($F$15,$A200,0)))</f>
        <v>(SERVIÇOS INICIAIS)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81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2" t="str">
        <f ca="1">IF($D201&lt;&gt;"Serviço","",IF(AUTOEVENTO="Manual",IF($A201=0,"&lt;-- defina o número do agrupador",OFFSET(EVENTOS!$D$14,$A201,0)),OFFSET($F$15,$A201,0)))</f>
        <v>(SERVIÇOS INICIAIS)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81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2" t="str">
        <f ca="1">IF($D202&lt;&gt;"Serviço","",IF(AUTOEVENTO="Manual",IF($A202=0,"&lt;-- defina o número do agrupador",OFFSET(EVENTOS!$D$14,$A202,0)),OFFSET($F$15,$A202,0)))</f>
        <v>(SERVIÇOS INICIAIS)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81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2" t="str">
        <f ca="1">IF($D203&lt;&gt;"Serviço","",IF(AUTOEVENTO="Manual",IF($A203=0,"&lt;-- defina o número do agrupador",OFFSET(EVENTOS!$D$14,$A203,0)),OFFSET($F$15,$A203,0)))</f>
        <v>(SERVIÇOS INICIAIS)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81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2" t="str">
        <f ca="1">IF($D204&lt;&gt;"Serviço","",IF(AUTOEVENTO="Manual",IF($A204=0,"&lt;-- defina o número do agrupador",OFFSET(EVENTOS!$D$14,$A204,0)),OFFSET($F$15,$A204,0)))</f>
        <v>(SERVIÇOS INICIAIS)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81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2" t="str">
        <f ca="1">IF($D205&lt;&gt;"Serviço","",IF(AUTOEVENTO="Manual",IF($A205=0,"&lt;-- defina o número do agrupador",OFFSET(EVENTOS!$D$14,$A205,0)),OFFSET($F$15,$A205,0)))</f>
        <v>(SERVIÇOS INICIAIS)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81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2" t="str">
        <f ca="1">IF($D206&lt;&gt;"Serviço","",IF(AUTOEVENTO="Manual",IF($A206=0,"&lt;-- defina o número do agrupador",OFFSET(EVENTOS!$D$14,$A206,0)),OFFSET($F$15,$A206,0)))</f>
        <v>(SERVIÇOS INICIAIS)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81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2" t="str">
        <f ca="1">IF($D207&lt;&gt;"Serviço","",IF(AUTOEVENTO="Manual",IF($A207=0,"&lt;-- defina o número do agrupador",OFFSET(EVENTOS!$D$14,$A207,0)),OFFSET($F$15,$A207,0)))</f>
        <v>(SERVIÇOS INICIAIS)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81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2" t="str">
        <f ca="1">IF($D208&lt;&gt;"Serviço","",IF(AUTOEVENTO="Manual",IF($A208=0,"&lt;-- defina o número do agrupador",OFFSET(EVENTOS!$D$14,$A208,0)),OFFSET($F$15,$A208,0)))</f>
        <v>(SERVIÇOS INICIAIS)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81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2" t="str">
        <f ca="1">IF($D209&lt;&gt;"Serviço","",IF(AUTOEVENTO="Manual",IF($A209=0,"&lt;-- defina o número do agrupador",OFFSET(EVENTOS!$D$14,$A209,0)),OFFSET($F$15,$A209,0)))</f>
        <v>(SERVIÇOS INICIAIS)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81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2" t="str">
        <f ca="1">IF($D210&lt;&gt;"Serviço","",IF(AUTOEVENTO="Manual",IF($A210=0,"&lt;-- defina o número do agrupador",OFFSET(EVENTOS!$D$14,$A210,0)),OFFSET($F$15,$A210,0)))</f>
        <v>(SERVIÇOS INICIAIS)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81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2" t="str">
        <f ca="1">IF($D211&lt;&gt;"Serviço","",IF(AUTOEVENTO="Manual",IF($A211=0,"&lt;-- defina o número do agrupador",OFFSET(EVENTOS!$D$14,$A211,0)),OFFSET($F$15,$A211,0)))</f>
        <v>(SERVIÇOS INICIAIS)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81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2" t="str">
        <f ca="1">IF($D212&lt;&gt;"Serviço","",IF(AUTOEVENTO="Manual",IF($A212=0,"&lt;-- defina o número do agrupador",OFFSET(EVENTOS!$D$14,$A212,0)),OFFSET($F$15,$A212,0)))</f>
        <v>(SERVIÇOS INICIAIS)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81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2" t="str">
        <f ca="1">IF($D213&lt;&gt;"Serviço","",IF(AUTOEVENTO="Manual",IF($A213=0,"&lt;-- defina o número do agrupador",OFFSET(EVENTOS!$D$14,$A213,0)),OFFSET($F$15,$A213,0)))</f>
        <v>(SERVIÇOS INICIAIS)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81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2" t="str">
        <f ca="1">IF($D214&lt;&gt;"Serviço","",IF(AUTOEVENTO="Manual",IF($A214=0,"&lt;-- defina o número do agrupador",OFFSET(EVENTOS!$D$14,$A214,0)),OFFSET($F$15,$A214,0)))</f>
        <v>(SERVIÇOS INICIAIS)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81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2" t="str">
        <f ca="1">IF($D215&lt;&gt;"Serviço","",IF(AUTOEVENTO="Manual",IF($A215=0,"&lt;-- defina o número do agrupador",OFFSET(EVENTOS!$D$14,$A215,0)),OFFSET($F$15,$A215,0)))</f>
        <v>(SERVIÇOS INICIAIS)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81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2" t="str">
        <f ca="1">IF($D216&lt;&gt;"Serviço","",IF(AUTOEVENTO="Manual",IF($A216=0,"&lt;-- defina o número do agrupador",OFFSET(EVENTOS!$D$14,$A216,0)),OFFSET($F$15,$A216,0)))</f>
        <v>(SERVIÇOS INICIAIS)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81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2" t="str">
        <f ca="1">IF($D217&lt;&gt;"Serviço","",IF(AUTOEVENTO="Manual",IF($A217=0,"&lt;-- defina o número do agrupador",OFFSET(EVENTOS!$D$14,$A217,0)),OFFSET($F$15,$A217,0)))</f>
        <v>(SERVIÇOS INICIAIS)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81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2" t="str">
        <f ca="1">IF($D218&lt;&gt;"Serviço","",IF(AUTOEVENTO="Manual",IF($A218=0,"&lt;-- defina o número do agrupador",OFFSET(EVENTOS!$D$14,$A218,0)),OFFSET($F$15,$A218,0)))</f>
        <v>(SERVIÇOS INICIAIS)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81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2" t="str">
        <f ca="1">IF($D219&lt;&gt;"Serviço","",IF(AUTOEVENTO="Manual",IF($A219=0,"&lt;-- defina o número do agrupador",OFFSET(EVENTOS!$D$14,$A219,0)),OFFSET($F$15,$A219,0)))</f>
        <v>(SERVIÇOS INICIAIS)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81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2" t="str">
        <f ca="1">IF($D220&lt;&gt;"Serviço","",IF(AUTOEVENTO="Manual",IF($A220=0,"&lt;-- defina o número do agrupador",OFFSET(EVENTOS!$D$14,$A220,0)),OFFSET($F$15,$A220,0)))</f>
        <v>(SERVIÇOS INICIAIS)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81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2" t="str">
        <f ca="1">IF($D221&lt;&gt;"Serviço","",IF(AUTOEVENTO="Manual",IF($A221=0,"&lt;-- defina o número do agrupador",OFFSET(EVENTOS!$D$14,$A221,0)),OFFSET($F$15,$A221,0)))</f>
        <v>(SERVIÇOS INICIAIS)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81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2" t="str">
        <f ca="1">IF($D222&lt;&gt;"Serviço","",IF(AUTOEVENTO="Manual",IF($A222=0,"&lt;-- defina o número do agrupador",OFFSET(EVENTOS!$D$14,$A222,0)),OFFSET($F$15,$A222,0)))</f>
        <v>(SERVIÇOS INICIAIS)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81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2" t="str">
        <f ca="1">IF($D223&lt;&gt;"Serviço","",IF(AUTOEVENTO="Manual",IF($A223=0,"&lt;-- defina o número do agrupador",OFFSET(EVENTOS!$D$14,$A223,0)),OFFSET($F$15,$A223,0)))</f>
        <v>(SERVIÇOS INICIAIS)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81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2" t="str">
        <f ca="1">IF($D224&lt;&gt;"Serviço","",IF(AUTOEVENTO="Manual",IF($A224=0,"&lt;-- defina o número do agrupador",OFFSET(EVENTOS!$D$14,$A224,0)),OFFSET($F$15,$A224,0)))</f>
        <v>(SERVIÇOS INICIAIS)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81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2" t="str">
        <f ca="1">IF($D225&lt;&gt;"Serviço","",IF(AUTOEVENTO="Manual",IF($A225=0,"&lt;-- defina o número do agrupador",OFFSET(EVENTOS!$D$14,$A225,0)),OFFSET($F$15,$A225,0)))</f>
        <v>(SERVIÇOS INICIAIS)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81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2" t="str">
        <f ca="1">IF($D226&lt;&gt;"Serviço","",IF(AUTOEVENTO="Manual",IF($A226=0,"&lt;-- defina o número do agrupador",OFFSET(EVENTOS!$D$14,$A226,0)),OFFSET($F$15,$A226,0)))</f>
        <v>(SERVIÇOS INICIAIS)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81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2" t="str">
        <f ca="1">IF($D227&lt;&gt;"Serviço","",IF(AUTOEVENTO="Manual",IF($A227=0,"&lt;-- defina o número do agrupador",OFFSET(EVENTOS!$D$14,$A227,0)),OFFSET($F$15,$A227,0)))</f>
        <v>(SERVIÇOS INICIAIS)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81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2" t="str">
        <f ca="1">IF($D228&lt;&gt;"Serviço","",IF(AUTOEVENTO="Manual",IF($A228=0,"&lt;-- defina o número do agrupador",OFFSET(EVENTOS!$D$14,$A228,0)),OFFSET($F$15,$A228,0)))</f>
        <v>(SERVIÇOS INICIAIS)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81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2" t="str">
        <f ca="1">IF($D229&lt;&gt;"Serviço","",IF(AUTOEVENTO="Manual",IF($A229=0,"&lt;-- defina o número do agrupador",OFFSET(EVENTOS!$D$14,$A229,0)),OFFSET($F$15,$A229,0)))</f>
        <v>(SERVIÇOS INICIAIS)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81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2" t="str">
        <f ca="1">IF($D230&lt;&gt;"Serviço","",IF(AUTOEVENTO="Manual",IF($A230=0,"&lt;-- defina o número do agrupador",OFFSET(EVENTOS!$D$14,$A230,0)),OFFSET($F$15,$A230,0)))</f>
        <v>(SERVIÇOS INICIAIS)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81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2" t="str">
        <f ca="1">IF($D231&lt;&gt;"Serviço","",IF(AUTOEVENTO="Manual",IF($A231=0,"&lt;-- defina o número do agrupador",OFFSET(EVENTOS!$D$14,$A231,0)),OFFSET($F$15,$A231,0)))</f>
        <v>(SERVIÇOS INICIAIS)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81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2" t="str">
        <f ca="1">IF($D232&lt;&gt;"Serviço","",IF(AUTOEVENTO="Manual",IF($A232=0,"&lt;-- defina o número do agrupador",OFFSET(EVENTOS!$D$14,$A232,0)),OFFSET($F$15,$A232,0)))</f>
        <v>(SERVIÇOS INICIAIS)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81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2" t="str">
        <f ca="1">IF($D233&lt;&gt;"Serviço","",IF(AUTOEVENTO="Manual",IF($A233=0,"&lt;-- defina o número do agrupador",OFFSET(EVENTOS!$D$14,$A233,0)),OFFSET($F$15,$A233,0)))</f>
        <v>(SERVIÇOS INICIAIS)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81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2" t="str">
        <f ca="1">IF($D234&lt;&gt;"Serviço","",IF(AUTOEVENTO="Manual",IF($A234=0,"&lt;-- defina o número do agrupador",OFFSET(EVENTOS!$D$14,$A234,0)),OFFSET($F$15,$A234,0)))</f>
        <v>(SERVIÇOS INICIAIS)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81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2" t="str">
        <f ca="1">IF($D235&lt;&gt;"Serviço","",IF(AUTOEVENTO="Manual",IF($A235=0,"&lt;-- defina o número do agrupador",OFFSET(EVENTOS!$D$14,$A235,0)),OFFSET($F$15,$A235,0)))</f>
        <v>(SERVIÇOS INICIAIS)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81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2" t="str">
        <f ca="1">IF($D236&lt;&gt;"Serviço","",IF(AUTOEVENTO="Manual",IF($A236=0,"&lt;-- defina o número do agrupador",OFFSET(EVENTOS!$D$14,$A236,0)),OFFSET($F$15,$A236,0)))</f>
        <v>(SERVIÇOS INICIAIS)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81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2" t="str">
        <f ca="1">IF($D237&lt;&gt;"Serviço","",IF(AUTOEVENTO="Manual",IF($A237=0,"&lt;-- defina o número do agrupador",OFFSET(EVENTOS!$D$14,$A237,0)),OFFSET($F$15,$A237,0)))</f>
        <v>(SERVIÇOS INICIAIS)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81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2" t="str">
        <f ca="1">IF($D238&lt;&gt;"Serviço","",IF(AUTOEVENTO="Manual",IF($A238=0,"&lt;-- defina o número do agrupador",OFFSET(EVENTOS!$D$14,$A238,0)),OFFSET($F$15,$A238,0)))</f>
        <v>(SERVIÇOS INICIAIS)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81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2" t="str">
        <f ca="1">IF($D239&lt;&gt;"Serviço","",IF(AUTOEVENTO="Manual",IF($A239=0,"&lt;-- defina o número do agrupador",OFFSET(EVENTOS!$D$14,$A239,0)),OFFSET($F$15,$A239,0)))</f>
        <v>(SERVIÇOS INICIAIS)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81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2" t="str">
        <f ca="1">IF($D240&lt;&gt;"Serviço","",IF(AUTOEVENTO="Manual",IF($A240=0,"&lt;-- defina o número do agrupador",OFFSET(EVENTOS!$D$14,$A240,0)),OFFSET($F$15,$A240,0)))</f>
        <v>(SERVIÇOS INICIAIS)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81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2" t="str">
        <f ca="1">IF($D241&lt;&gt;"Serviço","",IF(AUTOEVENTO="Manual",IF($A241=0,"&lt;-- defina o número do agrupador",OFFSET(EVENTOS!$D$14,$A241,0)),OFFSET($F$15,$A241,0)))</f>
        <v>(SERVIÇOS INICIAIS)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81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2" t="str">
        <f ca="1">IF($D242&lt;&gt;"Serviço","",IF(AUTOEVENTO="Manual",IF($A242=0,"&lt;-- defina o número do agrupador",OFFSET(EVENTOS!$D$14,$A242,0)),OFFSET($F$15,$A242,0)))</f>
        <v>(SERVIÇOS INICIAIS)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81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2" t="str">
        <f ca="1">IF($D243&lt;&gt;"Serviço","",IF(AUTOEVENTO="Manual",IF($A243=0,"&lt;-- defina o número do agrupador",OFFSET(EVENTOS!$D$14,$A243,0)),OFFSET($F$15,$A243,0)))</f>
        <v>(SERVIÇOS INICIAIS)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81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2" t="str">
        <f ca="1">IF($D244&lt;&gt;"Serviço","",IF(AUTOEVENTO="Manual",IF($A244=0,"&lt;-- defina o número do agrupador",OFFSET(EVENTOS!$D$14,$A244,0)),OFFSET($F$15,$A244,0)))</f>
        <v>(SERVIÇOS INICIAIS)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81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2" t="str">
        <f ca="1">IF($D245&lt;&gt;"Serviço","",IF(AUTOEVENTO="Manual",IF($A245=0,"&lt;-- defina o número do agrupador",OFFSET(EVENTOS!$D$14,$A245,0)),OFFSET($F$15,$A245,0)))</f>
        <v>(SERVIÇOS INICIAIS)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81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2" t="str">
        <f ca="1">IF($D246&lt;&gt;"Serviço","",IF(AUTOEVENTO="Manual",IF($A246=0,"&lt;-- defina o número do agrupador",OFFSET(EVENTOS!$D$14,$A246,0)),OFFSET($F$15,$A246,0)))</f>
        <v>(SERVIÇOS INICIAIS)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81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2" t="str">
        <f ca="1">IF($D247&lt;&gt;"Serviço","",IF(AUTOEVENTO="Manual",IF($A247=0,"&lt;-- defina o número do agrupador",OFFSET(EVENTOS!$D$14,$A247,0)),OFFSET($F$15,$A247,0)))</f>
        <v>(SERVIÇOS INICIAIS)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81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2" t="str">
        <f ca="1">IF($D248&lt;&gt;"Serviço","",IF(AUTOEVENTO="Manual",IF($A248=0,"&lt;-- defina o número do agrupador",OFFSET(EVENTOS!$D$14,$A248,0)),OFFSET($F$15,$A248,0)))</f>
        <v>(SERVIÇOS INICIAIS)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81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2" t="str">
        <f ca="1">IF($D249&lt;&gt;"Serviço","",IF(AUTOEVENTO="Manual",IF($A249=0,"&lt;-- defina o número do agrupador",OFFSET(EVENTOS!$D$14,$A249,0)),OFFSET($F$15,$A249,0)))</f>
        <v>(SERVIÇOS INICIAIS)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81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2" t="str">
        <f ca="1">IF($D250&lt;&gt;"Serviço","",IF(AUTOEVENTO="Manual",IF($A250=0,"&lt;-- defina o número do agrupador",OFFSET(EVENTOS!$D$14,$A250,0)),OFFSET($F$15,$A250,0)))</f>
        <v>(SERVIÇOS INICIAIS)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81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2" t="str">
        <f ca="1">IF($D251&lt;&gt;"Serviço","",IF(AUTOEVENTO="Manual",IF($A251=0,"&lt;-- defina o número do agrupador",OFFSET(EVENTOS!$D$14,$A251,0)),OFFSET($F$15,$A251,0)))</f>
        <v>(SERVIÇOS INICIAIS)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81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2" t="str">
        <f ca="1">IF($D252&lt;&gt;"Serviço","",IF(AUTOEVENTO="Manual",IF($A252=0,"&lt;-- defina o número do agrupador",OFFSET(EVENTOS!$D$14,$A252,0)),OFFSET($F$15,$A252,0)))</f>
        <v>(SERVIÇOS INICIAIS)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81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2" t="str">
        <f ca="1">IF($D253&lt;&gt;"Serviço","",IF(AUTOEVENTO="Manual",IF($A253=0,"&lt;-- defina o número do agrupador",OFFSET(EVENTOS!$D$14,$A253,0)),OFFSET($F$15,$A253,0)))</f>
        <v>(SERVIÇOS INICIAIS)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81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2" t="str">
        <f ca="1">IF($D254&lt;&gt;"Serviço","",IF(AUTOEVENTO="Manual",IF($A254=0,"&lt;-- defina o número do agrupador",OFFSET(EVENTOS!$D$14,$A254,0)),OFFSET($F$15,$A254,0)))</f>
        <v>(SERVIÇOS INICIAIS)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81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2" t="str">
        <f ca="1">IF($D255&lt;&gt;"Serviço","",IF(AUTOEVENTO="Manual",IF($A255=0,"&lt;-- defina o número do agrupador",OFFSET(EVENTOS!$D$14,$A255,0)),OFFSET($F$15,$A255,0)))</f>
        <v>(SERVIÇOS INICIAIS)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81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2" t="str">
        <f ca="1">IF($D256&lt;&gt;"Serviço","",IF(AUTOEVENTO="Manual",IF($A256=0,"&lt;-- defina o número do agrupador",OFFSET(EVENTOS!$D$14,$A256,0)),OFFSET($F$15,$A256,0)))</f>
        <v>(SERVIÇOS INICIAIS)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81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2" t="str">
        <f ca="1">IF($D257&lt;&gt;"Serviço","",IF(AUTOEVENTO="Manual",IF($A257=0,"&lt;-- defina o número do agrupador",OFFSET(EVENTOS!$D$14,$A257,0)),OFFSET($F$15,$A257,0)))</f>
        <v>(SERVIÇOS INICIAIS)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81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2" t="str">
        <f ca="1">IF($D258&lt;&gt;"Serviço","",IF(AUTOEVENTO="Manual",IF($A258=0,"&lt;-- defina o número do agrupador",OFFSET(EVENTOS!$D$14,$A258,0)),OFFSET($F$15,$A258,0)))</f>
        <v>(SERVIÇOS INICIAIS)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81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2" t="str">
        <f ca="1">IF($D259&lt;&gt;"Serviço","",IF(AUTOEVENTO="Manual",IF($A259=0,"&lt;-- defina o número do agrupador",OFFSET(EVENTOS!$D$14,$A259,0)),OFFSET($F$15,$A259,0)))</f>
        <v>(SERVIÇOS INICIAIS)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81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2" t="str">
        <f ca="1">IF($D260&lt;&gt;"Serviço","",IF(AUTOEVENTO="Manual",IF($A260=0,"&lt;-- defina o número do agrupador",OFFSET(EVENTOS!$D$14,$A260,0)),OFFSET($F$15,$A260,0)))</f>
        <v>(SERVIÇOS INICIAIS)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81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2" t="str">
        <f ca="1">IF($D261&lt;&gt;"Serviço","",IF(AUTOEVENTO="Manual",IF($A261=0,"&lt;-- defina o número do agrupador",OFFSET(EVENTOS!$D$14,$A261,0)),OFFSET($F$15,$A261,0)))</f>
        <v>(SERVIÇOS INICIAIS)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81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2" t="str">
        <f ca="1">IF($D262&lt;&gt;"Serviço","",IF(AUTOEVENTO="Manual",IF($A262=0,"&lt;-- defina o número do agrupador",OFFSET(EVENTOS!$D$14,$A262,0)),OFFSET($F$15,$A262,0)))</f>
        <v>(SERVIÇOS INICIAIS)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81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2" t="str">
        <f ca="1">IF($D263&lt;&gt;"Serviço","",IF(AUTOEVENTO="Manual",IF($A263=0,"&lt;-- defina o número do agrupador",OFFSET(EVENTOS!$D$14,$A263,0)),OFFSET($F$15,$A263,0)))</f>
        <v>(SERVIÇOS INICIAIS)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81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2" t="str">
        <f ca="1">IF($D264&lt;&gt;"Serviço","",IF(AUTOEVENTO="Manual",IF($A264=0,"&lt;-- defina o número do agrupador",OFFSET(EVENTOS!$D$14,$A264,0)),OFFSET($F$15,$A264,0)))</f>
        <v>(SERVIÇOS INICIAIS)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81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2" t="str">
        <f ca="1">IF($D265&lt;&gt;"Serviço","",IF(AUTOEVENTO="Manual",IF($A265=0,"&lt;-- defina o número do agrupador",OFFSET(EVENTOS!$D$14,$A265,0)),OFFSET($F$15,$A265,0)))</f>
        <v>(SERVIÇOS INICIAIS)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44628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2" t="s">
        <v>407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31" t="s">
        <v>265</v>
      </c>
      <c r="D13" s="714" t="s">
        <v>266</v>
      </c>
      <c r="E13" s="714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1"/>
      <c r="E14" s="711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5" t="s">
        <v>268</v>
      </c>
      <c r="E15" s="715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1"/>
      <c r="E16" s="711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1"/>
      <c r="E17" s="711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1"/>
      <c r="E18" s="711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1"/>
      <c r="E19" s="711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1"/>
      <c r="E20" s="711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1"/>
      <c r="E21" s="711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1"/>
      <c r="E22" s="711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1"/>
      <c r="E23" s="711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1"/>
      <c r="E24" s="711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1"/>
      <c r="E25" s="711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1"/>
      <c r="E26" s="711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1"/>
      <c r="E27" s="711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1"/>
      <c r="E28" s="711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1"/>
      <c r="E29" s="711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1"/>
      <c r="E30" s="711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1"/>
      <c r="E31" s="711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1"/>
      <c r="E32" s="711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1"/>
      <c r="E33" s="711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1"/>
      <c r="E34" s="711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1"/>
      <c r="E35" s="711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1"/>
      <c r="E36" s="711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1"/>
      <c r="E37" s="711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1"/>
      <c r="E38" s="711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1"/>
      <c r="E39" s="711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1"/>
      <c r="E40" s="711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1"/>
      <c r="E41" s="711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1"/>
      <c r="E42" s="711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1"/>
      <c r="E43" s="711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1"/>
      <c r="E44" s="711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1"/>
      <c r="E45" s="711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1"/>
      <c r="E46" s="711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1"/>
      <c r="E47" s="711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1"/>
      <c r="E48" s="711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1"/>
      <c r="E49" s="711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1"/>
      <c r="E50" s="711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1"/>
      <c r="E51" s="711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1"/>
      <c r="E52" s="711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1"/>
      <c r="E53" s="711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1"/>
      <c r="E54" s="711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1"/>
      <c r="E55" s="711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1"/>
      <c r="E56" s="711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1"/>
      <c r="E57" s="711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1"/>
      <c r="E58" s="711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1"/>
      <c r="E59" s="711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1"/>
      <c r="E60" s="711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1"/>
      <c r="E61" s="711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1"/>
      <c r="E62" s="711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1"/>
      <c r="E63" s="711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1"/>
      <c r="E64" s="711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23" activePane="bottomRight" state="frozen"/>
      <selection activeCell="F4" sqref="F4"/>
      <selection pane="topRight" activeCell="T4" sqref="T4"/>
      <selection pane="bottomLeft" activeCell="F14" sqref="F14"/>
      <selection pane="bottomRight" activeCell="X180" sqref="X180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8" t="s">
        <v>139</v>
      </c>
      <c r="AE4" s="688"/>
    </row>
    <row r="5" spans="1:32" ht="15" x14ac:dyDescent="0.2">
      <c r="R5" s="107" t="str">
        <f>import.recurso</f>
        <v>(SELECIONAR)</v>
      </c>
      <c r="AD5" s="689" t="s">
        <v>142</v>
      </c>
      <c r="AE5" s="689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3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7" t="s">
        <v>208</v>
      </c>
      <c r="G8" s="723"/>
      <c r="H8" s="721">
        <f>Import.CR</f>
        <v>0</v>
      </c>
      <c r="I8" s="721"/>
      <c r="J8" s="274">
        <f>Import.SICONV</f>
        <v>0</v>
      </c>
      <c r="K8" s="720" t="str">
        <f>Import.Proponente</f>
        <v>MUNICIPIO DE CÉU AZUL</v>
      </c>
      <c r="L8" s="720"/>
      <c r="M8" s="720"/>
      <c r="N8" s="720"/>
      <c r="O8" s="720"/>
      <c r="P8" s="720"/>
      <c r="Q8" s="720"/>
      <c r="R8" s="720"/>
      <c r="S8" s="720"/>
      <c r="T8" s="721" t="str">
        <f>Import.Apelido</f>
        <v>REFORMA UBS NOVA UNIÃO</v>
      </c>
      <c r="U8" s="721"/>
      <c r="V8" s="721"/>
      <c r="W8" s="721"/>
      <c r="X8" s="721"/>
      <c r="Y8" s="717">
        <f>IF(TIPOORCAMENTO="Licitado",Import.empresa,Import.DescLote)</f>
        <v>0</v>
      </c>
      <c r="Z8" s="717"/>
      <c r="AA8" s="717"/>
      <c r="AB8" s="717"/>
      <c r="AC8" s="717"/>
      <c r="AD8" s="717"/>
      <c r="AE8" s="275" t="str">
        <f>IF(TIPOORCAMENTO="Licitado",Import.CTEF,"")</f>
        <v/>
      </c>
    </row>
    <row r="9" spans="1:32" x14ac:dyDescent="0.2">
      <c r="E9" s="144"/>
      <c r="F9" s="677"/>
      <c r="G9" s="723"/>
    </row>
    <row r="10" spans="1:32" x14ac:dyDescent="0.2">
      <c r="E10" s="267"/>
      <c r="F10" s="677"/>
      <c r="G10" s="276">
        <v>2</v>
      </c>
      <c r="J10" s="722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2"/>
      <c r="L10" s="722"/>
      <c r="M10" s="722"/>
      <c r="N10" s="722"/>
      <c r="O10" s="722"/>
      <c r="P10" s="722"/>
      <c r="Q10" s="722"/>
      <c r="R10" s="722"/>
      <c r="S10" s="722"/>
    </row>
    <row r="11" spans="1:32" ht="12.75" customHeight="1" x14ac:dyDescent="0.2">
      <c r="F11" s="677"/>
      <c r="H11" s="277"/>
      <c r="I11" s="277"/>
      <c r="J11" s="722"/>
      <c r="K11" s="722"/>
      <c r="L11" s="722"/>
      <c r="M11" s="722"/>
      <c r="N11" s="722"/>
      <c r="O11" s="722"/>
      <c r="P11" s="722"/>
      <c r="Q11" s="722"/>
      <c r="R11" s="722"/>
      <c r="S11" s="722"/>
    </row>
    <row r="12" spans="1:32" ht="12.75" customHeight="1" x14ac:dyDescent="0.2">
      <c r="D12" s="278">
        <f ca="1">OFFSET(D12,0,-1)+1</f>
        <v>1</v>
      </c>
      <c r="F12" s="136" t="s">
        <v>216</v>
      </c>
      <c r="G12" s="725" t="s">
        <v>273</v>
      </c>
      <c r="H12" s="726" t="s">
        <v>230</v>
      </c>
      <c r="I12" s="727" t="s">
        <v>233</v>
      </c>
      <c r="J12" s="279"/>
      <c r="K12" s="279"/>
      <c r="L12" s="280"/>
      <c r="M12" s="280"/>
      <c r="N12" s="280"/>
      <c r="O12" s="280"/>
      <c r="P12" s="280"/>
      <c r="Q12" s="280"/>
      <c r="R12" s="718" t="s">
        <v>274</v>
      </c>
      <c r="S12" s="719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5"/>
      <c r="H13" s="726"/>
      <c r="I13" s="727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8"/>
      <c r="S13" s="719"/>
      <c r="T13" s="288">
        <v>44652</v>
      </c>
      <c r="U13" s="284">
        <f ca="1">OFFSET(U13,0,-1)+41-DAY(OFFSET(U13,0,-1)+40)</f>
        <v>44682</v>
      </c>
      <c r="V13" s="284">
        <f ca="1">OFFSET(V13,0,-1)+41-DAY(OFFSET(V13,0,-1)+40)</f>
        <v>44713</v>
      </c>
      <c r="W13" s="284">
        <f t="shared" ref="W13:AE13" ca="1" si="2">OFFSET(W13,0,-1)+41-DAY(OFFSET(W13,0,-1)+40)</f>
        <v>44743</v>
      </c>
      <c r="X13" s="284">
        <f t="shared" ca="1" si="2"/>
        <v>44774</v>
      </c>
      <c r="Y13" s="284">
        <f t="shared" ca="1" si="2"/>
        <v>44805</v>
      </c>
      <c r="Z13" s="284">
        <f t="shared" ca="1" si="2"/>
        <v>44835</v>
      </c>
      <c r="AA13" s="284">
        <f t="shared" ca="1" si="2"/>
        <v>44866</v>
      </c>
      <c r="AB13" s="284">
        <f t="shared" ca="1" si="2"/>
        <v>44896</v>
      </c>
      <c r="AC13" s="284">
        <f t="shared" ca="1" si="2"/>
        <v>44927</v>
      </c>
      <c r="AD13" s="284">
        <f t="shared" ca="1" si="2"/>
        <v>44958</v>
      </c>
      <c r="AE13" s="289">
        <f t="shared" ca="1" si="2"/>
        <v>44986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(PLACA DE OBRA)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8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8</v>
      </c>
      <c r="R14" s="248">
        <f ca="1">IF($E15=0,OFFSET(ORÇAMENTO!X$15,$E14,0),IF($E15&lt;&gt;-1,OFFSET(QCI!$O$13,$E15,0),""))</f>
        <v>1081.94</v>
      </c>
      <c r="S14" s="249" t="s">
        <v>269</v>
      </c>
      <c r="T14" s="250">
        <f t="shared" ref="T14:AE14" ca="1" si="3">IF(AND($Q14=2,ACOMPANHAMENTO="BM"),T15,T16/$R14)</f>
        <v>1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1081.94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hidden="1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1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/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>
        <f ca="1">IF($E18=0,OFFSET(ORÇAMENTO!R$15,$E17,0),IF($E18&lt;&gt;-1,OFFSET(QCI!$G$13,$E18,0),""))</f>
        <v>0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5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0</v>
      </c>
      <c r="S17" s="249" t="s">
        <v>269</v>
      </c>
      <c r="T17" s="250">
        <f t="shared" ref="T17:AE17" ca="1" si="4">IF(AND($Q17=2,ACOMPANHAMENTO="BM"),T18,T19/$R17)</f>
        <v>0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hidden="1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/>
      </c>
      <c r="G18" s="252" t="str">
        <f ca="1">IF(OR(R17=0,R17=""),"vazia",IF(AND(OR(ACOMPANHAMENTO="PLE",$Q17&lt;&gt;2),$E18=0),"calculada","--&gt;"))</f>
        <v>vazia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0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3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(SERVIÇOS INICIAIS)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2</v>
      </c>
      <c r="N20" s="247">
        <f ca="1">IF($E21=-1,0,IF(N$13&lt;=$L20,IF(ISERROR(MATCH(N$13,OFFSET($L20,1,0,ROW($L$164)-ROW($L20)-1),0)),ROW($L$164)-ROW($L20)-1,MATCH(N$13,OFFSET($L20,1,0,ROW($L$164)-ROW($L20)-1),0)-1),0))</f>
        <v>5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1081.94</v>
      </c>
      <c r="S20" s="249" t="s">
        <v>269</v>
      </c>
      <c r="T20" s="250">
        <f t="shared" ref="T20:AE20" ca="1" si="5">IF(AND($Q20=2,ACOMPANHAMENTO="BM"),T21,T22/$R20)</f>
        <v>1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1</v>
      </c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1081.94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0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7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2.</v>
      </c>
      <c r="I23" s="245" t="str">
        <f ca="1">IF($E24=0,OFFSET(ORÇAMENTO!R$15,$E23,0),IF($E24&lt;&gt;-1,OFFSET(QCI!$G$13,$E24,0),""))</f>
        <v>PAREDE E FORRO</v>
      </c>
      <c r="J23" s="245"/>
      <c r="K23" s="245"/>
      <c r="L23" s="246">
        <f ca="1">IF($E24=0,OFFSET(ORÇAMENTO!C$15,$E23,0),1)</f>
        <v>1</v>
      </c>
      <c r="M23" s="247">
        <f ca="1">IF($E24=-1,0,IF(M$13&lt;=$L23,IF(ISERROR(MATCH(M$13,OFFSET($L23,1,0,ROW($L$164)-ROW($L23)-1),0)),ROW($L$164)-ROW($L23)-1,MATCH(M$13,OFFSET($L23,1,0,ROW($L$164)-ROW($L23)-1),0)-1),0))</f>
        <v>5</v>
      </c>
      <c r="N23" s="247">
        <f ca="1">IF($E24=-1,0,IF(N$13&lt;=$L23,IF(ISERROR(MATCH(N$13,OFFSET($L23,1,0,ROW($L$164)-ROW($L23)-1),0)),ROW($L$164)-ROW($L23)-1,MATCH(N$13,OFFSET($L23,1,0,ROW($L$164)-ROW($L23)-1),0)-1),0))</f>
        <v>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5</v>
      </c>
      <c r="R23" s="248">
        <f ca="1">IF($E24=0,OFFSET(ORÇAMENTO!X$15,$E23,0),IF($E24&lt;&gt;-1,OFFSET(QCI!$O$13,$E24,0),""))</f>
        <v>7259</v>
      </c>
      <c r="S23" s="249" t="s">
        <v>269</v>
      </c>
      <c r="T23" s="250">
        <f t="shared" ref="T23:AE23" ca="1" si="6">IF(AND($Q23=2,ACOMPANHAMENTO="BM"),T24,T25/$R23)</f>
        <v>0.5</v>
      </c>
      <c r="U23" s="242">
        <f t="shared" ca="1" si="6"/>
        <v>0.5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1$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3629.5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3629.5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8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2.1.</v>
      </c>
      <c r="I26" s="245">
        <f ca="1">IF($E27=0,OFFSET(ORÇAMENTO!R$15,$E26,0),IF($E27&lt;&gt;-1,OFFSET(QCI!$G$13,$E27,0),""))</f>
        <v>0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5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7259</v>
      </c>
      <c r="S26" s="249" t="s">
        <v>269</v>
      </c>
      <c r="T26" s="250">
        <f t="shared" ref="T26:AE26" ca="1" si="7">IF(AND($Q26=2,ACOMPANHAMENTO="BM"),T27,T28/$R26)</f>
        <v>0.5</v>
      </c>
      <c r="U26" s="242">
        <f t="shared" ca="1" si="7"/>
        <v>0.5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>
        <v>0.5</v>
      </c>
      <c r="U27" s="620">
        <v>0.5</v>
      </c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3629.5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3629.5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0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43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3.</v>
      </c>
      <c r="I29" s="245" t="str">
        <f ca="1">IF($E30=0,OFFSET(ORÇAMENTO!R$15,$E29,0),IF($E30&lt;&gt;-1,OFFSET(QCI!$G$13,$E30,0),""))</f>
        <v>PINTURA</v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5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5</v>
      </c>
      <c r="R29" s="248">
        <f ca="1">IF($E30=0,OFFSET(ORÇAMENTO!X$15,$E29,0),IF($E30&lt;&gt;-1,OFFSET(QCI!$O$13,$E30,0),""))</f>
        <v>29599.17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1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29599.17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44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3.1.</v>
      </c>
      <c r="I32" s="245" t="str">
        <f ca="1">IF($E33=0,OFFSET(ORÇAMENTO!R$15,$E32,0),IF($E33&lt;&gt;-1,OFFSET(QCI!$G$13,$E33,0),""))</f>
        <v>(SERVIÇOS INICIAIS)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5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29599.17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1</v>
      </c>
      <c r="V32" s="242">
        <f t="shared" ca="1" si="9"/>
        <v>0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>
        <v>1</v>
      </c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29599.17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0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63</v>
      </c>
      <c r="F35" s="239" t="str">
        <f ca="1">IF(AND($E36&lt;&gt;-1,$R35&gt;0),"F","")</f>
        <v>F</v>
      </c>
      <c r="G35" s="243" t="str">
        <f ca="1">IF(OR(R35=0,R35=""),"Linha",IF(AND(OR(ACOMPANHAMENTO="PLE",$Q35&lt;&gt;2),$E36=0),"Linha",1-SUM(T35:AF35)))</f>
        <v>Linha</v>
      </c>
      <c r="H35" s="244" t="str">
        <f ca="1">IF($E36=0,OFFSET(ORÇAMENTO!O$15,$E35,0),IF($E36&lt;&gt;-1,OFFSET(QCI!$D$13,$E36,0),""))</f>
        <v>4.</v>
      </c>
      <c r="I35" s="245" t="str">
        <f ca="1">IF($E36=0,OFFSET(ORÇAMENTO!R$15,$E35,0),IF($E36&lt;&gt;-1,OFFSET(QCI!$G$13,$E36,0),""))</f>
        <v>ESQUADRIAS</v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5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5</v>
      </c>
      <c r="R35" s="248">
        <f ca="1">IF($E36=0,OFFSET(ORÇAMENTO!X$15,$E35,0),IF($E36&lt;&gt;-1,OFFSET(QCI!$O$13,$E36,0),""))</f>
        <v>1729.41</v>
      </c>
      <c r="S35" s="249" t="s">
        <v>269</v>
      </c>
      <c r="T35" s="250">
        <f t="shared" ref="T35:AE35" ca="1" si="10">IF(AND($Q35=2,ACOMPANHAMENTO="BM"),T36,T37/$R35)</f>
        <v>0.5</v>
      </c>
      <c r="U35" s="242">
        <f t="shared" ca="1" si="10"/>
        <v>0.5</v>
      </c>
      <c r="V35" s="242">
        <f t="shared" ca="1" si="10"/>
        <v>0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calculada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864.70500000000004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864.70500000000004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0.99999999999999989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64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4.1.</v>
      </c>
      <c r="I38" s="245" t="str">
        <f ca="1">IF($E39=0,OFFSET(ORÇAMENTO!R$15,$E38,0),IF($E39&lt;&gt;-1,OFFSET(QCI!$G$13,$E39,0),""))</f>
        <v>(SERVIÇOS INICIAIS)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5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1729.41</v>
      </c>
      <c r="S38" s="249" t="s">
        <v>269</v>
      </c>
      <c r="T38" s="250">
        <f t="shared" ref="T38:AE38" ca="1" si="11">IF(AND($Q38=2,ACOMPANHAMENTO="BM"),T39,T40/$R38)</f>
        <v>0.5</v>
      </c>
      <c r="U38" s="242">
        <f t="shared" ca="1" si="11"/>
        <v>0.5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>
        <v>0.5</v>
      </c>
      <c r="U39" s="620">
        <v>0.5</v>
      </c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864.70500000000004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864.70500000000004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0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80</v>
      </c>
      <c r="F41" s="239" t="str">
        <f ca="1">IF(AND($E42&lt;&gt;-1,$R41&gt;0),"F","")</f>
        <v>F</v>
      </c>
      <c r="G41" s="243" t="str">
        <f ca="1">IF(OR(R41=0,R41=""),"Linha",IF(AND(OR(ACOMPANHAMENTO="PLE",$Q41&lt;&gt;2),$E42=0),"Linha",1-SUM(T41:AF41)))</f>
        <v>Linha</v>
      </c>
      <c r="H41" s="244" t="str">
        <f ca="1">IF($E42=0,OFFSET(ORÇAMENTO!O$15,$E41,0),IF($E42&lt;&gt;-1,OFFSET(QCI!$D$13,$E42,0),""))</f>
        <v>5.</v>
      </c>
      <c r="I41" s="245" t="str">
        <f ca="1">IF($E42=0,OFFSET(ORÇAMENTO!R$15,$E41,0),IF($E42&lt;&gt;-1,OFFSET(QCI!$G$13,$E42,0),""))</f>
        <v>(COBERTURA)</v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5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5</v>
      </c>
      <c r="R41" s="248">
        <f ca="1">IF($E42=0,OFFSET(ORÇAMENTO!X$15,$E41,0),IF($E42&lt;&gt;-1,OFFSET(QCI!$O$13,$E42,0),""))</f>
        <v>16273.31</v>
      </c>
      <c r="S41" s="249" t="s">
        <v>269</v>
      </c>
      <c r="T41" s="250">
        <f t="shared" ref="T41:AE41" ca="1" si="12">IF(AND($Q41=2,ACOMPANHAMENTO="BM"),T42,T43/$R41)</f>
        <v>0.5</v>
      </c>
      <c r="U41" s="242">
        <f t="shared" ca="1" si="12"/>
        <v>0.5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calculada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8136.6549999999997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8136.6549999999997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1.0000000000000002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81</v>
      </c>
      <c r="F44" s="239" t="str">
        <f ca="1">IF(AND($E45&lt;&gt;-1,$R44&gt;0),"F","")</f>
        <v>F</v>
      </c>
      <c r="G44" s="243">
        <f ca="1">IF(OR(R44=0,R44=""),"Linha",IF(AND(OR(ACOMPANHAMENTO="PLE",$Q44&lt;&gt;2),$E45=0),"Linha",1-SUM(T44:AF44)))</f>
        <v>0</v>
      </c>
      <c r="H44" s="244" t="str">
        <f ca="1">IF($E45=0,OFFSET(ORÇAMENTO!O$15,$E44,0),IF($E45&lt;&gt;-1,OFFSET(QCI!$D$13,$E45,0),""))</f>
        <v>5.1.</v>
      </c>
      <c r="I44" s="245" t="str">
        <f ca="1">IF($E45=0,OFFSET(ORÇAMENTO!R$15,$E44,0),IF($E45&lt;&gt;-1,OFFSET(QCI!$G$13,$E45,0),""))</f>
        <v>(SERVIÇOS INICIAIS)</v>
      </c>
      <c r="J44" s="245"/>
      <c r="K44" s="245"/>
      <c r="L44" s="246">
        <f ca="1">IF($E45=0,OFFSET(ORÇAMENTO!C$15,$E44,0),1)</f>
        <v>2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119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16273.31</v>
      </c>
      <c r="S44" s="249" t="s">
        <v>269</v>
      </c>
      <c r="T44" s="250">
        <f t="shared" ref="T44:AE44" ca="1" si="13">IF(AND($Q44=2,ACOMPANHAMENTO="BM"),T45,T46/$R44)</f>
        <v>0.5</v>
      </c>
      <c r="U44" s="242">
        <f t="shared" ca="1" si="13"/>
        <v>0.5</v>
      </c>
      <c r="V44" s="242">
        <f t="shared" ca="1" si="13"/>
        <v>0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--&gt;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>
        <v>0.5</v>
      </c>
      <c r="U45" s="620">
        <v>0.5</v>
      </c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2$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8136.6549999999997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8136.6549999999997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>
        <f ca="1">IF(AND($Q47=2,ACOMPANHAMENTO="BM"),D48,D49/$R47)</f>
        <v>0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6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6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>
        <f ca="1">IF(AND($Q50=2,ACOMPANHAMENTO="BM"),D51,D52/$R50)</f>
        <v>0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7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</v>
      </c>
      <c r="V50" s="242">
        <f t="shared" ca="1" si="15"/>
        <v>0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7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>
        <f ca="1">IF(AND($Q53=2,ACOMPANHAMENTO="BM"),D54,D55/$R53)</f>
        <v>0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8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</v>
      </c>
      <c r="V53" s="242">
        <f t="shared" ca="1" si="16"/>
        <v>0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8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>
        <f ca="1">IF(AND($Q56=2,ACOMPANHAMENTO="BM"),D57,D58/$R56)</f>
        <v>0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9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</v>
      </c>
      <c r="W56" s="242">
        <f t="shared" ca="1" si="17"/>
        <v>0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9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1</v>
      </c>
      <c r="D59" s="242">
        <f ca="1">IF(AND($Q59=2,ACOMPANHAMENTO="BM"),D60,D61/$R59)</f>
        <v>0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>
        <f ca="1">IF($E60=0,OFFSET(ORÇAMENTO!O$15,$E59,0),IF($E60&lt;&gt;-1,OFFSET(QCI!$D$13,$E60,0),""))</f>
        <v>10</v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0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0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10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4" t="str">
        <f ca="1">"Total:    R$ "&amp;TEXT(Q165,"#.##0,00")</f>
        <v>Total:    R$ 55.942,83</v>
      </c>
      <c r="I165" s="724"/>
      <c r="J165" s="724"/>
      <c r="K165" s="291"/>
      <c r="Q165" s="292">
        <f ca="1">SUMIF(L12:L164,1,R12:R164)</f>
        <v>55942.83</v>
      </c>
      <c r="R165" s="293"/>
      <c r="S165" s="294" t="s">
        <v>281</v>
      </c>
      <c r="T165" s="295">
        <f t="shared" ref="T165:AE165" ca="1" si="53">ROUND(T169,2)/$Q$165</f>
        <v>0.24512167153502959</v>
      </c>
      <c r="U165" s="296">
        <f t="shared" ca="1" si="53"/>
        <v>0.75487832846497038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4"/>
      <c r="I166" s="724"/>
      <c r="J166" s="724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13712.8</v>
      </c>
      <c r="U167" s="309">
        <f t="shared" ref="U167:AE167" ca="1" si="55">ROUND(U172,2)-ROUND(T172,2)</f>
        <v>42230.03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13712.8</v>
      </c>
      <c r="U169" s="321">
        <f t="shared" ref="U169:AE169" ca="1" si="57">ROUND(U174,2)-ROUND(T174,2)</f>
        <v>42230.03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0.24512167153502959</v>
      </c>
      <c r="U170" s="296">
        <f t="shared" ref="U170:AE170" ca="1" si="58">ROUND(U174,2)/$Q$165</f>
        <v>1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13712.800000000003</v>
      </c>
      <c r="U172" s="309">
        <f t="array" aca="1" ref="U172" ca="1">T172+SUM((OFFSET($B$13,1,0):OFFSET($B$164,-3,0))*IF(ISNUMBER(OFFSET(U$11,5,0):OFFSET(U$164,-1,0)),OFFSET(U$11,5,0):OFFSET(U$164,-1,0),0))</f>
        <v>55942.83</v>
      </c>
      <c r="V172" s="309">
        <f t="array" aca="1" ref="V172" ca="1">U172+SUM((OFFSET($B$13,1,0):OFFSET($B$164,-3,0))*IF(ISNUMBER(OFFSET(V$11,5,0):OFFSET(V$164,-1,0)),OFFSET(V$11,5,0):OFFSET(V$164,-1,0),0))</f>
        <v>55942.83</v>
      </c>
      <c r="W172" s="309">
        <f t="array" aca="1" ref="W172" ca="1">V172+SUM((OFFSET($B$13,1,0):OFFSET($B$164,-3,0))*IF(ISNUMBER(OFFSET(W$11,5,0):OFFSET(W$164,-1,0)),OFFSET(W$11,5,0):OFFSET(W$164,-1,0),0))</f>
        <v>55942.83</v>
      </c>
      <c r="X172" s="309">
        <f t="array" aca="1" ref="X172" ca="1">W172+SUM((OFFSET($B$13,1,0):OFFSET($B$164,-3,0))*IF(ISNUMBER(OFFSET(X$11,5,0):OFFSET(X$164,-1,0)),OFFSET(X$11,5,0):OFFSET(X$164,-1,0),0))</f>
        <v>55942.83</v>
      </c>
      <c r="Y172" s="309">
        <f t="array" aca="1" ref="Y172" ca="1">X172+SUM((OFFSET($B$13,1,0):OFFSET($B$164,-3,0))*IF(ISNUMBER(OFFSET(Y$11,5,0):OFFSET(Y$164,-1,0)),OFFSET(Y$11,5,0):OFFSET(Y$164,-1,0),0))</f>
        <v>55942.83</v>
      </c>
      <c r="Z172" s="309">
        <f t="array" aca="1" ref="Z172" ca="1">Y172+SUM((OFFSET($B$13,1,0):OFFSET($B$164,-3,0))*IF(ISNUMBER(OFFSET(Z$11,5,0):OFFSET(Z$164,-1,0)),OFFSET(Z$11,5,0):OFFSET(Z$164,-1,0),0))</f>
        <v>55942.83</v>
      </c>
      <c r="AA172" s="309">
        <f t="array" aca="1" ref="AA172" ca="1">Z172+SUM((OFFSET($B$13,1,0):OFFSET($B$164,-3,0))*IF(ISNUMBER(OFFSET(AA$11,5,0):OFFSET(AA$164,-1,0)),OFFSET(AA$11,5,0):OFFSET(AA$164,-1,0),0))</f>
        <v>55942.83</v>
      </c>
      <c r="AB172" s="309">
        <f t="array" aca="1" ref="AB172" ca="1">AA172+SUM((OFFSET($B$13,1,0):OFFSET($B$164,-3,0))*IF(ISNUMBER(OFFSET(AB$11,5,0):OFFSET(AB$164,-1,0)),OFFSET(AB$11,5,0):OFFSET(AB$164,-1,0),0))</f>
        <v>55942.83</v>
      </c>
      <c r="AC172" s="309">
        <f t="array" aca="1" ref="AC172" ca="1">AB172+SUM((OFFSET($B$13,1,0):OFFSET($B$164,-3,0))*IF(ISNUMBER(OFFSET(AC$11,5,0):OFFSET(AC$164,-1,0)),OFFSET(AC$11,5,0):OFFSET(AC$164,-1,0),0))</f>
        <v>55942.83</v>
      </c>
      <c r="AD172" s="309">
        <f t="array" aca="1" ref="AD172" ca="1">AC172+SUM((OFFSET($B$13,1,0):OFFSET($B$164,-3,0))*IF(ISNUMBER(OFFSET(AD$11,5,0):OFFSET(AD$164,-1,0)),OFFSET(AD$11,5,0):OFFSET(AD$164,-1,0),0))</f>
        <v>55942.83</v>
      </c>
      <c r="AE172" s="310">
        <f t="array" aca="1" ref="AE172" ca="1">AD172+SUM((OFFSET($B$13,1,0):OFFSET($B$164,-3,0))*IF(ISNUMBER(OFFSET(AE$11,5,0):OFFSET(AE$164,-1,0)),OFFSET(AE$11,5,0):OFFSET(AE$164,-1,0),0))</f>
        <v>55942.83</v>
      </c>
      <c r="AF172" s="240">
        <f ca="1">AE172+SUMPRODUCT((OFFSET($C$13,1,0):OFFSET($C$164,-3,0))*IF(ISNUMBER(OFFSET(AF$11,5,0):OFFSET(AF$164,-1,0)),OFFSET(AF$11,5,0):OFFSET(AF$164,-1,0),0))</f>
        <v>55942.83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13712.8</v>
      </c>
      <c r="U174" s="321">
        <f t="shared" ref="U174:AF174" ca="1" si="60">T174+SUMIF($R$12:$R$164,"1$",U12:U164)</f>
        <v>55942.83</v>
      </c>
      <c r="V174" s="321">
        <f t="shared" ca="1" si="60"/>
        <v>55942.83</v>
      </c>
      <c r="W174" s="321">
        <f t="shared" ca="1" si="60"/>
        <v>55942.83</v>
      </c>
      <c r="X174" s="321">
        <f t="shared" ca="1" si="60"/>
        <v>55942.83</v>
      </c>
      <c r="Y174" s="321">
        <f t="shared" ca="1" si="60"/>
        <v>55942.83</v>
      </c>
      <c r="Z174" s="321">
        <f t="shared" ca="1" si="60"/>
        <v>55942.83</v>
      </c>
      <c r="AA174" s="321">
        <f t="shared" ca="1" si="60"/>
        <v>55942.83</v>
      </c>
      <c r="AB174" s="321">
        <f t="shared" ca="1" si="60"/>
        <v>55942.83</v>
      </c>
      <c r="AC174" s="321">
        <f t="shared" ca="1" si="60"/>
        <v>55942.83</v>
      </c>
      <c r="AD174" s="321">
        <f t="shared" ca="1" si="60"/>
        <v>55942.83</v>
      </c>
      <c r="AE174" s="322">
        <f t="shared" ca="1" si="60"/>
        <v>55942.83</v>
      </c>
      <c r="AF174" s="240">
        <f t="shared" ca="1" si="60"/>
        <v>55942.83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6" t="str">
        <f>Import.Município</f>
        <v>CÉU AZUL</v>
      </c>
      <c r="I176" s="706"/>
      <c r="J176" s="706"/>
      <c r="K176" s="706"/>
      <c r="L176" s="706"/>
      <c r="M176" s="706"/>
      <c r="N176" s="706"/>
      <c r="O176" s="706"/>
      <c r="P176" s="706"/>
      <c r="Q176" s="706"/>
      <c r="R176" s="706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6">
        <f>DADOS!$F$25</f>
        <v>44628</v>
      </c>
      <c r="I179" s="716"/>
      <c r="J179" s="716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8" t="s">
        <v>265</v>
      </c>
      <c r="C12" s="728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8"/>
      <c r="C13" s="728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INICIAIS)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>
        <f ca="1">IF(AUTOEVENTO="Manual",IF($B17&lt;&gt;1,OFFSET(EVENTOS!$D$14,$B17,0),0),IF(B17&lt;=MAX(CÁLCULO!$M$15:$M$266),VLOOKUP($B17,CÁLCULO!$M$15:$N$266,2,FALSE),0))</f>
        <v>0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(SERVIÇOS INICIAIS)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(SERVIÇOS INICIAIS)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(SERVIÇOS INICIAIS)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3" t="e">
        <f ca="1">IF(AUTOEVENTO="Manual",IF($B1&lt;&gt;1,OFFSET(EVENTOS!$D$14,$B1,0),0),IF(B1&lt;=MAX(CÁLCULO!$M$15:$M$266),VLOOKUP($B1,CÁLCULO!$M$15:$N$266,2,FALSE),0))</f>
        <v>#REF!</v>
      </c>
      <c r="D1" s="743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8" t="s">
        <v>139</v>
      </c>
      <c r="AE3" s="688"/>
      <c r="AF3" s="688"/>
    </row>
    <row r="4" spans="1:33" ht="15.75" x14ac:dyDescent="0.2">
      <c r="B4" s="103"/>
      <c r="C4" s="103"/>
      <c r="H4" s="107" t="str">
        <f>import.recurso</f>
        <v>(SELECIONAR)</v>
      </c>
      <c r="AD4" s="689" t="s">
        <v>142</v>
      </c>
      <c r="AE4" s="689"/>
      <c r="AF4" s="689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6" t="str">
        <f>IF(TIPOORCAMENTO="Licitado","Nº CTEF","")</f>
        <v/>
      </c>
      <c r="AF6" s="746"/>
    </row>
    <row r="7" spans="1:33" x14ac:dyDescent="0.2">
      <c r="B7" s="721">
        <f>Import.CR</f>
        <v>0</v>
      </c>
      <c r="C7" s="721"/>
      <c r="D7" s="274">
        <f>Import.SICONV</f>
        <v>0</v>
      </c>
      <c r="E7" s="55"/>
      <c r="H7" s="720" t="str">
        <f>Import.Proponente</f>
        <v>MUNICIPIO DE CÉU AZUL</v>
      </c>
      <c r="I7" s="720"/>
      <c r="J7" s="720"/>
      <c r="K7" s="720"/>
      <c r="L7" s="720"/>
      <c r="M7" s="720"/>
      <c r="N7" s="720"/>
      <c r="O7" s="721" t="str">
        <f>Import.Apelido</f>
        <v>REFORMA UBS NOVA UNIÃO</v>
      </c>
      <c r="P7" s="721"/>
      <c r="Q7" s="721"/>
      <c r="R7" s="721"/>
      <c r="S7" s="721"/>
      <c r="T7" s="721"/>
      <c r="U7" s="721"/>
      <c r="V7" s="721">
        <f>IF(TIPOORCAMENTO="Licitado",Import.empresa,Import.DescLote)</f>
        <v>0</v>
      </c>
      <c r="W7" s="721"/>
      <c r="X7" s="721"/>
      <c r="Y7" s="721"/>
      <c r="Z7" s="721"/>
      <c r="AA7" s="721"/>
      <c r="AB7" s="721"/>
      <c r="AC7" s="721"/>
      <c r="AD7" s="721"/>
      <c r="AE7" s="750" t="str">
        <f>IF(TIPOORCAMENTO="Licitado",Import.CTEF,"")</f>
        <v/>
      </c>
      <c r="AF7" s="750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8">
        <v>1</v>
      </c>
      <c r="K9" s="748"/>
      <c r="M9" s="348" t="s">
        <v>282</v>
      </c>
      <c r="N9" s="7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9"/>
      <c r="P9" s="749"/>
      <c r="Q9" s="749"/>
      <c r="R9" s="749"/>
      <c r="S9" s="749"/>
      <c r="T9" s="749"/>
      <c r="U9" s="349"/>
      <c r="X9" s="348" t="s">
        <v>294</v>
      </c>
      <c r="Y9" s="751">
        <f ca="1">OFFSET($I$69,1+8*(ROUNDUP(($J$9-0)/((COLUMN($AG$14)-COLUMN($G$14)-1)/25*12),0)-1),ROUNDDOWN((($J$9-0)-OFFSET($I$69,8*(ROUNDUP(($J$9-0)/((COLUMN($AG$14)-COLUMN($G$14)-1)/25*12),0)-1),0))*(2+1/12),0))</f>
        <v>0</v>
      </c>
      <c r="Z9" s="751"/>
      <c r="AD9" s="348" t="s">
        <v>295</v>
      </c>
      <c r="AE9" s="751">
        <f ca="1">OFFSET($I$69,3+8*(ROUNDUP(($J$9-0)/((COLUMN($AG$14)-COLUMN($G$14)-1)/25*12),0)-1),ROUNDDOWN((($J$9-0)-OFFSET($I$69,8*(ROUNDUP(($J$9-0)/((COLUMN($AG$14)-COLUMN($G$14)-1)/25*12),0)-1),0))*(2+1/12),0))</f>
        <v>0</v>
      </c>
      <c r="AF9" s="751"/>
    </row>
    <row r="11" spans="1:33" ht="65.25" customHeight="1" x14ac:dyDescent="0.2">
      <c r="A11" s="331" t="s">
        <v>289</v>
      </c>
      <c r="C11" s="7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7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8" t="s">
        <v>265</v>
      </c>
      <c r="C12" s="728" t="s">
        <v>290</v>
      </c>
      <c r="D12" s="728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8"/>
      <c r="C13" s="728"/>
      <c r="D13" s="728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5" t="s">
        <v>268</v>
      </c>
      <c r="D15" s="745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3" t="str">
        <f ca="1">IF(AUTOEVENTO="Manual",IF($B16&lt;&gt;1,OFFSET(EVENTOS!$D$14,$B16,0),0),IF(B16&lt;=MAX(CÁLCULO!$M$15:$M$266),VLOOKUP($B16,CÁLCULO!$M$15:$N$266,2,FALSE),0))</f>
        <v>(SERVIÇOS INICIAIS)</v>
      </c>
      <c r="D16" s="743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3">
        <f ca="1">IF(AUTOEVENTO="Manual",IF($B17&lt;&gt;1,OFFSET(EVENTOS!$D$14,$B17,0),0),IF(B17&lt;=MAX(CÁLCULO!$M$15:$M$266),VLOOKUP($B17,CÁLCULO!$M$15:$N$266,2,FALSE),0))</f>
        <v>0</v>
      </c>
      <c r="D17" s="743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3" t="str">
        <f ca="1">IF(AUTOEVENTO="Manual",IF($B18&lt;&gt;1,OFFSET(EVENTOS!$D$14,$B18,0),0),IF(B18&lt;=MAX(CÁLCULO!$M$15:$M$266),VLOOKUP($B18,CÁLCULO!$M$15:$N$266,2,FALSE),0))</f>
        <v>(SERVIÇOS INICIAIS)</v>
      </c>
      <c r="D18" s="743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3" t="str">
        <f ca="1">IF(AUTOEVENTO="Manual",IF($B19&lt;&gt;1,OFFSET(EVENTOS!$D$14,$B19,0),0),IF(B19&lt;=MAX(CÁLCULO!$M$15:$M$266),VLOOKUP($B19,CÁLCULO!$M$15:$N$266,2,FALSE),0))</f>
        <v>(SERVIÇOS INICIAIS)</v>
      </c>
      <c r="D19" s="743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3" t="str">
        <f ca="1">IF(AUTOEVENTO="Manual",IF($B20&lt;&gt;1,OFFSET(EVENTOS!$D$14,$B20,0),0),IF(B20&lt;=MAX(CÁLCULO!$M$15:$M$266),VLOOKUP($B20,CÁLCULO!$M$15:$N$266,2,FALSE),0))</f>
        <v>(SERVIÇOS INICIAIS)</v>
      </c>
      <c r="D20" s="743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3">
        <f ca="1">IF(AUTOEVENTO="Manual",IF($B21&lt;&gt;1,OFFSET(EVENTOS!$D$14,$B21,0),0),IF(B21&lt;=MAX(CÁLCULO!$M$15:$M$266),VLOOKUP($B21,CÁLCULO!$M$15:$N$266,2,FALSE),0))</f>
        <v>0</v>
      </c>
      <c r="D21" s="743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3">
        <f ca="1">IF(AUTOEVENTO="Manual",IF($B22&lt;&gt;1,OFFSET(EVENTOS!$D$14,$B22,0),0),IF(B22&lt;=MAX(CÁLCULO!$M$15:$M$266),VLOOKUP($B22,CÁLCULO!$M$15:$N$266,2,FALSE),0))</f>
        <v>0</v>
      </c>
      <c r="D22" s="743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3">
        <f ca="1">IF(AUTOEVENTO="Manual",IF($B23&lt;&gt;1,OFFSET(EVENTOS!$D$14,$B23,0),0),IF(B23&lt;=MAX(CÁLCULO!$M$15:$M$266),VLOOKUP($B23,CÁLCULO!$M$15:$N$266,2,FALSE),0))</f>
        <v>0</v>
      </c>
      <c r="D23" s="743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3">
        <f ca="1">IF(AUTOEVENTO="Manual",IF($B24&lt;&gt;1,OFFSET(EVENTOS!$D$14,$B24,0),0),IF(B24&lt;=MAX(CÁLCULO!$M$15:$M$266),VLOOKUP($B24,CÁLCULO!$M$15:$N$266,2,FALSE),0))</f>
        <v>0</v>
      </c>
      <c r="D24" s="743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3">
        <f ca="1">IF(AUTOEVENTO="Manual",IF($B25&lt;&gt;1,OFFSET(EVENTOS!$D$14,$B25,0),0),IF(B25&lt;=MAX(CÁLCULO!$M$15:$M$266),VLOOKUP($B25,CÁLCULO!$M$15:$N$266,2,FALSE),0))</f>
        <v>0</v>
      </c>
      <c r="D25" s="743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3">
        <f ca="1">IF(AUTOEVENTO="Manual",IF($B26&lt;&gt;1,OFFSET(EVENTOS!$D$14,$B26,0),0),IF(B26&lt;=MAX(CÁLCULO!$M$15:$M$266),VLOOKUP($B26,CÁLCULO!$M$15:$N$266,2,FALSE),0))</f>
        <v>0</v>
      </c>
      <c r="D26" s="743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3">
        <f ca="1">IF(AUTOEVENTO="Manual",IF($B27&lt;&gt;1,OFFSET(EVENTOS!$D$14,$B27,0),0),IF(B27&lt;=MAX(CÁLCULO!$M$15:$M$266),VLOOKUP($B27,CÁLCULO!$M$15:$N$266,2,FALSE),0))</f>
        <v>0</v>
      </c>
      <c r="D27" s="743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3">
        <f ca="1">IF(AUTOEVENTO="Manual",IF($B28&lt;&gt;1,OFFSET(EVENTOS!$D$14,$B28,0),0),IF(B28&lt;=MAX(CÁLCULO!$M$15:$M$266),VLOOKUP($B28,CÁLCULO!$M$15:$N$266,2,FALSE),0))</f>
        <v>0</v>
      </c>
      <c r="D28" s="743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3">
        <f ca="1">IF(AUTOEVENTO="Manual",IF($B29&lt;&gt;1,OFFSET(EVENTOS!$D$14,$B29,0),0),IF(B29&lt;=MAX(CÁLCULO!$M$15:$M$266),VLOOKUP($B29,CÁLCULO!$M$15:$N$266,2,FALSE),0))</f>
        <v>0</v>
      </c>
      <c r="D29" s="743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3">
        <f ca="1">IF(AUTOEVENTO="Manual",IF($B30&lt;&gt;1,OFFSET(EVENTOS!$D$14,$B30,0),0),IF(B30&lt;=MAX(CÁLCULO!$M$15:$M$266),VLOOKUP($B30,CÁLCULO!$M$15:$N$266,2,FALSE),0))</f>
        <v>0</v>
      </c>
      <c r="D30" s="743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3">
        <f ca="1">IF(AUTOEVENTO="Manual",IF($B31&lt;&gt;1,OFFSET(EVENTOS!$D$14,$B31,0),0),IF(B31&lt;=MAX(CÁLCULO!$M$15:$M$266),VLOOKUP($B31,CÁLCULO!$M$15:$N$266,2,FALSE),0))</f>
        <v>0</v>
      </c>
      <c r="D31" s="743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3">
        <f ca="1">IF(AUTOEVENTO="Manual",IF($B32&lt;&gt;1,OFFSET(EVENTOS!$D$14,$B32,0),0),IF(B32&lt;=MAX(CÁLCULO!$M$15:$M$266),VLOOKUP($B32,CÁLCULO!$M$15:$N$266,2,FALSE),0))</f>
        <v>0</v>
      </c>
      <c r="D32" s="743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3">
        <f ca="1">IF(AUTOEVENTO="Manual",IF($B33&lt;&gt;1,OFFSET(EVENTOS!$D$14,$B33,0),0),IF(B33&lt;=MAX(CÁLCULO!$M$15:$M$266),VLOOKUP($B33,CÁLCULO!$M$15:$N$266,2,FALSE),0))</f>
        <v>0</v>
      </c>
      <c r="D33" s="743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3">
        <f ca="1">IF(AUTOEVENTO="Manual",IF($B34&lt;&gt;1,OFFSET(EVENTOS!$D$14,$B34,0),0),IF(B34&lt;=MAX(CÁLCULO!$M$15:$M$266),VLOOKUP($B34,CÁLCULO!$M$15:$N$266,2,FALSE),0))</f>
        <v>0</v>
      </c>
      <c r="D34" s="743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3">
        <f ca="1">IF(AUTOEVENTO="Manual",IF($B35&lt;&gt;1,OFFSET(EVENTOS!$D$14,$B35,0),0),IF(B35&lt;=MAX(CÁLCULO!$M$15:$M$266),VLOOKUP($B35,CÁLCULO!$M$15:$N$266,2,FALSE),0))</f>
        <v>0</v>
      </c>
      <c r="D35" s="743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3">
        <f ca="1">IF(AUTOEVENTO="Manual",IF($B36&lt;&gt;1,OFFSET(EVENTOS!$D$14,$B36,0),0),IF(B36&lt;=MAX(CÁLCULO!$M$15:$M$266),VLOOKUP($B36,CÁLCULO!$M$15:$N$266,2,FALSE),0))</f>
        <v>0</v>
      </c>
      <c r="D36" s="743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3">
        <f ca="1">IF(AUTOEVENTO="Manual",IF($B37&lt;&gt;1,OFFSET(EVENTOS!$D$14,$B37,0),0),IF(B37&lt;=MAX(CÁLCULO!$M$15:$M$266),VLOOKUP($B37,CÁLCULO!$M$15:$N$266,2,FALSE),0))</f>
        <v>0</v>
      </c>
      <c r="D37" s="743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3">
        <f ca="1">IF(AUTOEVENTO="Manual",IF($B38&lt;&gt;1,OFFSET(EVENTOS!$D$14,$B38,0),0),IF(B38&lt;=MAX(CÁLCULO!$M$15:$M$266),VLOOKUP($B38,CÁLCULO!$M$15:$N$266,2,FALSE),0))</f>
        <v>0</v>
      </c>
      <c r="D38" s="743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3">
        <f ca="1">IF(AUTOEVENTO="Manual",IF($B39&lt;&gt;1,OFFSET(EVENTOS!$D$14,$B39,0),0),IF(B39&lt;=MAX(CÁLCULO!$M$15:$M$266),VLOOKUP($B39,CÁLCULO!$M$15:$N$266,2,FALSE),0))</f>
        <v>0</v>
      </c>
      <c r="D39" s="743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3">
        <f ca="1">IF(AUTOEVENTO="Manual",IF($B40&lt;&gt;1,OFFSET(EVENTOS!$D$14,$B40,0),0),IF(B40&lt;=MAX(CÁLCULO!$M$15:$M$266),VLOOKUP($B40,CÁLCULO!$M$15:$N$266,2,FALSE),0))</f>
        <v>0</v>
      </c>
      <c r="D40" s="743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3">
        <f ca="1">IF(AUTOEVENTO="Manual",IF($B41&lt;&gt;1,OFFSET(EVENTOS!$D$14,$B41,0),0),IF(B41&lt;=MAX(CÁLCULO!$M$15:$M$266),VLOOKUP($B41,CÁLCULO!$M$15:$N$266,2,FALSE),0))</f>
        <v>0</v>
      </c>
      <c r="D41" s="743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3">
        <f ca="1">IF(AUTOEVENTO="Manual",IF($B42&lt;&gt;1,OFFSET(EVENTOS!$D$14,$B42,0),0),IF(B42&lt;=MAX(CÁLCULO!$M$15:$M$266),VLOOKUP($B42,CÁLCULO!$M$15:$N$266,2,FALSE),0))</f>
        <v>0</v>
      </c>
      <c r="D42" s="743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3">
        <f ca="1">IF(AUTOEVENTO="Manual",IF($B43&lt;&gt;1,OFFSET(EVENTOS!$D$14,$B43,0),0),IF(B43&lt;=MAX(CÁLCULO!$M$15:$M$266),VLOOKUP($B43,CÁLCULO!$M$15:$N$266,2,FALSE),0))</f>
        <v>0</v>
      </c>
      <c r="D43" s="743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3">
        <f ca="1">IF(AUTOEVENTO="Manual",IF($B44&lt;&gt;1,OFFSET(EVENTOS!$D$14,$B44,0),0),IF(B44&lt;=MAX(CÁLCULO!$M$15:$M$266),VLOOKUP($B44,CÁLCULO!$M$15:$N$266,2,FALSE),0))</f>
        <v>0</v>
      </c>
      <c r="D44" s="743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3">
        <f ca="1">IF(AUTOEVENTO="Manual",IF($B45&lt;&gt;1,OFFSET(EVENTOS!$D$14,$B45,0),0),IF(B45&lt;=MAX(CÁLCULO!$M$15:$M$266),VLOOKUP($B45,CÁLCULO!$M$15:$N$266,2,FALSE),0))</f>
        <v>0</v>
      </c>
      <c r="D45" s="743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3">
        <f ca="1">IF(AUTOEVENTO="Manual",IF($B46&lt;&gt;1,OFFSET(EVENTOS!$D$14,$B46,0),0),IF(B46&lt;=MAX(CÁLCULO!$M$15:$M$266),VLOOKUP($B46,CÁLCULO!$M$15:$N$266,2,FALSE),0))</f>
        <v>0</v>
      </c>
      <c r="D46" s="743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3">
        <f ca="1">IF(AUTOEVENTO="Manual",IF($B47&lt;&gt;1,OFFSET(EVENTOS!$D$14,$B47,0),0),IF(B47&lt;=MAX(CÁLCULO!$M$15:$M$266),VLOOKUP($B47,CÁLCULO!$M$15:$N$266,2,FALSE),0))</f>
        <v>0</v>
      </c>
      <c r="D47" s="743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3">
        <f ca="1">IF(AUTOEVENTO="Manual",IF($B48&lt;&gt;1,OFFSET(EVENTOS!$D$14,$B48,0),0),IF(B48&lt;=MAX(CÁLCULO!$M$15:$M$266),VLOOKUP($B48,CÁLCULO!$M$15:$N$266,2,FALSE),0))</f>
        <v>0</v>
      </c>
      <c r="D48" s="743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3">
        <f ca="1">IF(AUTOEVENTO="Manual",IF($B49&lt;&gt;1,OFFSET(EVENTOS!$D$14,$B49,0),0),IF(B49&lt;=MAX(CÁLCULO!$M$15:$M$266),VLOOKUP($B49,CÁLCULO!$M$15:$N$266,2,FALSE),0))</f>
        <v>0</v>
      </c>
      <c r="D49" s="743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3">
        <f ca="1">IF(AUTOEVENTO="Manual",IF($B50&lt;&gt;1,OFFSET(EVENTOS!$D$14,$B50,0),0),IF(B50&lt;=MAX(CÁLCULO!$M$15:$M$266),VLOOKUP($B50,CÁLCULO!$M$15:$N$266,2,FALSE),0))</f>
        <v>0</v>
      </c>
      <c r="D50" s="743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3">
        <f ca="1">IF(AUTOEVENTO="Manual",IF($B51&lt;&gt;1,OFFSET(EVENTOS!$D$14,$B51,0),0),IF(B51&lt;=MAX(CÁLCULO!$M$15:$M$266),VLOOKUP($B51,CÁLCULO!$M$15:$N$266,2,FALSE),0))</f>
        <v>0</v>
      </c>
      <c r="D51" s="743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3">
        <f ca="1">IF(AUTOEVENTO="Manual",IF($B52&lt;&gt;1,OFFSET(EVENTOS!$D$14,$B52,0),0),IF(B52&lt;=MAX(CÁLCULO!$M$15:$M$266),VLOOKUP($B52,CÁLCULO!$M$15:$N$266,2,FALSE),0))</f>
        <v>0</v>
      </c>
      <c r="D52" s="743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3">
        <f ca="1">IF(AUTOEVENTO="Manual",IF($B53&lt;&gt;1,OFFSET(EVENTOS!$D$14,$B53,0),0),IF(B53&lt;=MAX(CÁLCULO!$M$15:$M$266),VLOOKUP($B53,CÁLCULO!$M$15:$N$266,2,FALSE),0))</f>
        <v>0</v>
      </c>
      <c r="D53" s="743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3">
        <f ca="1">IF(AUTOEVENTO="Manual",IF($B54&lt;&gt;1,OFFSET(EVENTOS!$D$14,$B54,0),0),IF(B54&lt;=MAX(CÁLCULO!$M$15:$M$266),VLOOKUP($B54,CÁLCULO!$M$15:$N$266,2,FALSE),0))</f>
        <v>0</v>
      </c>
      <c r="D54" s="743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3">
        <f ca="1">IF(AUTOEVENTO="Manual",IF($B55&lt;&gt;1,OFFSET(EVENTOS!$D$14,$B55,0),0),IF(B55&lt;=MAX(CÁLCULO!$M$15:$M$266),VLOOKUP($B55,CÁLCULO!$M$15:$N$266,2,FALSE),0))</f>
        <v>0</v>
      </c>
      <c r="D55" s="743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3">
        <f ca="1">IF(AUTOEVENTO="Manual",IF($B56&lt;&gt;1,OFFSET(EVENTOS!$D$14,$B56,0),0),IF(B56&lt;=MAX(CÁLCULO!$M$15:$M$266),VLOOKUP($B56,CÁLCULO!$M$15:$N$266,2,FALSE),0))</f>
        <v>0</v>
      </c>
      <c r="D56" s="743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3">
        <f ca="1">IF(AUTOEVENTO="Manual",IF($B57&lt;&gt;1,OFFSET(EVENTOS!$D$14,$B57,0),0),IF(B57&lt;=MAX(CÁLCULO!$M$15:$M$266),VLOOKUP($B57,CÁLCULO!$M$15:$N$266,2,FALSE),0))</f>
        <v>0</v>
      </c>
      <c r="D57" s="743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3">
        <f ca="1">IF(AUTOEVENTO="Manual",IF($B58&lt;&gt;1,OFFSET(EVENTOS!$D$14,$B58,0),0),IF(B58&lt;=MAX(CÁLCULO!$M$15:$M$266),VLOOKUP($B58,CÁLCULO!$M$15:$N$266,2,FALSE),0))</f>
        <v>0</v>
      </c>
      <c r="D58" s="743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3">
        <f ca="1">IF(AUTOEVENTO="Manual",IF($B59&lt;&gt;1,OFFSET(EVENTOS!$D$14,$B59,0),0),IF(B59&lt;=MAX(CÁLCULO!$M$15:$M$266),VLOOKUP($B59,CÁLCULO!$M$15:$N$266,2,FALSE),0))</f>
        <v>0</v>
      </c>
      <c r="D59" s="743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3">
        <f ca="1">IF(AUTOEVENTO="Manual",IF($B60&lt;&gt;1,OFFSET(EVENTOS!$D$14,$B60,0),0),IF(B60&lt;=MAX(CÁLCULO!$M$15:$M$266),VLOOKUP($B60,CÁLCULO!$M$15:$N$266,2,FALSE),0))</f>
        <v>0</v>
      </c>
      <c r="D60" s="743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3">
        <f ca="1">IF(AUTOEVENTO="Manual",IF($B61&lt;&gt;1,OFFSET(EVENTOS!$D$14,$B61,0),0),IF(B61&lt;=MAX(CÁLCULO!$M$15:$M$266),VLOOKUP($B61,CÁLCULO!$M$15:$N$266,2,FALSE),0))</f>
        <v>0</v>
      </c>
      <c r="D61" s="743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3">
        <f ca="1">IF(AUTOEVENTO="Manual",IF($B62&lt;&gt;1,OFFSET(EVENTOS!$D$14,$B62,0),0),IF(B62&lt;=MAX(CÁLCULO!$M$15:$M$266),VLOOKUP($B62,CÁLCULO!$M$15:$N$266,2,FALSE),0))</f>
        <v>0</v>
      </c>
      <c r="D62" s="743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3">
        <f ca="1">IF(AUTOEVENTO="Manual",IF($B63&lt;&gt;1,OFFSET(EVENTOS!$D$14,$B63,0),0),IF(B63&lt;=MAX(CÁLCULO!$M$15:$M$266),VLOOKUP($B63,CÁLCULO!$M$15:$N$266,2,FALSE),0))</f>
        <v>0</v>
      </c>
      <c r="D63" s="743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3">
        <f ca="1">IF(AUTOEVENTO="Manual",IF($B64&lt;&gt;1,OFFSET(EVENTOS!$D$14,$B64,0),0),IF(B64&lt;=MAX(CÁLCULO!$M$15:$M$266),VLOOKUP($B64,CÁLCULO!$M$15:$N$266,2,FALSE),0))</f>
        <v>0</v>
      </c>
      <c r="D64" s="743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4" t="s">
        <v>297</v>
      </c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</row>
    <row r="68" spans="1:32" x14ac:dyDescent="0.2">
      <c r="A68" s="9" t="s">
        <v>245</v>
      </c>
      <c r="H68" s="582"/>
      <c r="I68" s="731"/>
      <c r="J68" s="732"/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42"/>
    </row>
    <row r="69" spans="1:32" x14ac:dyDescent="0.2">
      <c r="A69" s="9" t="s">
        <v>245</v>
      </c>
      <c r="D69" s="351" t="s">
        <v>298</v>
      </c>
      <c r="I69" s="729">
        <f>IF(PLE.Medicao&lt;=12,1,TRUNC((PLE.Medicao - 2)/11,0) * 11 + 1)</f>
        <v>1</v>
      </c>
      <c r="J69" s="729"/>
      <c r="K69" s="729">
        <f>I69+1</f>
        <v>2</v>
      </c>
      <c r="L69" s="729"/>
      <c r="M69" s="729">
        <f>K69+1</f>
        <v>3</v>
      </c>
      <c r="N69" s="729"/>
      <c r="O69" s="729">
        <f>M69+1</f>
        <v>4</v>
      </c>
      <c r="P69" s="729"/>
      <c r="Q69" s="729">
        <f>O69+1</f>
        <v>5</v>
      </c>
      <c r="R69" s="729"/>
      <c r="S69" s="729">
        <f>Q69+1</f>
        <v>6</v>
      </c>
      <c r="T69" s="729"/>
      <c r="U69" s="729">
        <f>S69+1</f>
        <v>7</v>
      </c>
      <c r="V69" s="729"/>
      <c r="W69" s="729">
        <f>U69+1</f>
        <v>8</v>
      </c>
      <c r="X69" s="729"/>
      <c r="Y69" s="729">
        <f>W69+1</f>
        <v>9</v>
      </c>
      <c r="Z69" s="729"/>
      <c r="AA69" s="729">
        <f>Y69+1</f>
        <v>10</v>
      </c>
      <c r="AB69" s="729"/>
      <c r="AC69" s="729">
        <f>AA69+1</f>
        <v>11</v>
      </c>
      <c r="AD69" s="729"/>
      <c r="AE69" s="729">
        <f>AC69+1</f>
        <v>12</v>
      </c>
      <c r="AF69" s="729"/>
    </row>
    <row r="70" spans="1:32" x14ac:dyDescent="0.2">
      <c r="A70" s="9" t="s">
        <v>245</v>
      </c>
      <c r="D70" s="739" t="s">
        <v>282</v>
      </c>
      <c r="H70" s="352" t="s">
        <v>299</v>
      </c>
      <c r="I70" s="730">
        <f ca="1">ROUND(I71,2)/ORÇAMENTO!$X$15</f>
        <v>0</v>
      </c>
      <c r="J70" s="730"/>
      <c r="K70" s="735">
        <f ca="1">ROUND(K71,2)/ORÇAMENTO!$X$15</f>
        <v>0</v>
      </c>
      <c r="L70" s="735"/>
      <c r="M70" s="736">
        <f ca="1">ROUND(M71,2)/ORÇAMENTO!$X$15</f>
        <v>0</v>
      </c>
      <c r="N70" s="736"/>
      <c r="O70" s="735">
        <f ca="1">ROUND(O71,2)/ORÇAMENTO!$X$15</f>
        <v>0</v>
      </c>
      <c r="P70" s="735"/>
      <c r="Q70" s="736">
        <f ca="1">ROUND(Q71,2)/ORÇAMENTO!$X$15</f>
        <v>0</v>
      </c>
      <c r="R70" s="736"/>
      <c r="S70" s="735">
        <f ca="1">ROUND(S71,2)/ORÇAMENTO!$X$15</f>
        <v>0</v>
      </c>
      <c r="T70" s="735"/>
      <c r="U70" s="736">
        <f ca="1">ROUND(U71,2)/ORÇAMENTO!$X$15</f>
        <v>0</v>
      </c>
      <c r="V70" s="736"/>
      <c r="W70" s="735">
        <f ca="1">ROUND(W71,2)/ORÇAMENTO!$X$15</f>
        <v>0</v>
      </c>
      <c r="X70" s="735"/>
      <c r="Y70" s="736">
        <f ca="1">ROUND(Y71,2)/ORÇAMENTO!$X$15</f>
        <v>0</v>
      </c>
      <c r="Z70" s="736"/>
      <c r="AA70" s="735">
        <f ca="1">ROUND(AA71,2)/ORÇAMENTO!$X$15</f>
        <v>0</v>
      </c>
      <c r="AB70" s="735"/>
      <c r="AC70" s="736">
        <f ca="1">ROUND(AC71,2)/ORÇAMENTO!$X$15</f>
        <v>0</v>
      </c>
      <c r="AD70" s="736"/>
      <c r="AE70" s="735">
        <f ca="1">ROUND(AE71,2)/ORÇAMENTO!$X$15</f>
        <v>0</v>
      </c>
      <c r="AF70" s="735"/>
    </row>
    <row r="71" spans="1:32" x14ac:dyDescent="0.2">
      <c r="A71" s="9" t="s">
        <v>245</v>
      </c>
      <c r="D71" s="739"/>
      <c r="H71" s="353" t="s">
        <v>300</v>
      </c>
      <c r="I71" s="734">
        <f ca="1">IF(I69=1,I73,ROUND(I73,2)-ROUND(SUMIF(CÁLCULO!$AX$15:$BH$266,"&lt;="&amp;PLE!I69-1,CÁLCULO!$AB$15:$AL$266)*(1+CÁLCULO.TotalAdmLocal/(ORÇAMENTO!$X$15-CÁLCULO.TotalAdmLocal)),2))</f>
        <v>0</v>
      </c>
      <c r="J71" s="734"/>
      <c r="K71" s="734">
        <f ca="1">ROUND(K73,2)-ROUND(I73,2)</f>
        <v>0</v>
      </c>
      <c r="L71" s="734"/>
      <c r="M71" s="733">
        <f ca="1">ROUND(M73,2)-ROUND(K73,2)</f>
        <v>0</v>
      </c>
      <c r="N71" s="733"/>
      <c r="O71" s="734">
        <f ca="1">ROUND(O73,2)-ROUND(M73,2)</f>
        <v>0</v>
      </c>
      <c r="P71" s="734"/>
      <c r="Q71" s="733">
        <f ca="1">ROUND(Q73,2)-ROUND(O73,2)</f>
        <v>0</v>
      </c>
      <c r="R71" s="733"/>
      <c r="S71" s="734">
        <f ca="1">ROUND(S73,2)-ROUND(Q73,2)</f>
        <v>0</v>
      </c>
      <c r="T71" s="734"/>
      <c r="U71" s="733">
        <f ca="1">ROUND(U73,2)-ROUND(S73,2)</f>
        <v>0</v>
      </c>
      <c r="V71" s="733"/>
      <c r="W71" s="734">
        <f ca="1">ROUND(W73,2)-ROUND(U73,2)</f>
        <v>0</v>
      </c>
      <c r="X71" s="734"/>
      <c r="Y71" s="733">
        <f ca="1">ROUND(Y73,2)-ROUND(W73,2)</f>
        <v>0</v>
      </c>
      <c r="Z71" s="733"/>
      <c r="AA71" s="734">
        <f ca="1">ROUND(AA73,2)-ROUND(Y73,2)</f>
        <v>0</v>
      </c>
      <c r="AB71" s="734"/>
      <c r="AC71" s="733">
        <f ca="1">ROUND(AC73,2)-ROUND(AA73,2)</f>
        <v>0</v>
      </c>
      <c r="AD71" s="733"/>
      <c r="AE71" s="734">
        <f ca="1">ROUND(AE73,2)-ROUND(AC73,2)</f>
        <v>0</v>
      </c>
      <c r="AF71" s="734"/>
    </row>
    <row r="72" spans="1:32" x14ac:dyDescent="0.2">
      <c r="A72" s="9" t="s">
        <v>245</v>
      </c>
      <c r="D72" s="739" t="s">
        <v>286</v>
      </c>
      <c r="H72" s="352" t="s">
        <v>299</v>
      </c>
      <c r="I72" s="740">
        <f ca="1">ROUND(I73,2)/ORÇAMENTO!$X$15</f>
        <v>0</v>
      </c>
      <c r="J72" s="740"/>
      <c r="K72" s="737">
        <f ca="1">ROUND(K73,2)/ORÇAMENTO!$X$15</f>
        <v>0</v>
      </c>
      <c r="L72" s="737"/>
      <c r="M72" s="738">
        <f ca="1">ROUND(M73,2)/ORÇAMENTO!$X$15</f>
        <v>0</v>
      </c>
      <c r="N72" s="738"/>
      <c r="O72" s="737">
        <f ca="1">ROUND(O73,2)/ORÇAMENTO!$X$15</f>
        <v>0</v>
      </c>
      <c r="P72" s="737"/>
      <c r="Q72" s="738">
        <f ca="1">ROUND(Q73,2)/ORÇAMENTO!$X$15</f>
        <v>0</v>
      </c>
      <c r="R72" s="738"/>
      <c r="S72" s="737">
        <f ca="1">ROUND(S73,2)/ORÇAMENTO!$X$15</f>
        <v>0</v>
      </c>
      <c r="T72" s="737"/>
      <c r="U72" s="738">
        <f ca="1">ROUND(U73,2)/ORÇAMENTO!$X$15</f>
        <v>0</v>
      </c>
      <c r="V72" s="738"/>
      <c r="W72" s="737">
        <f ca="1">ROUND(W73,2)/ORÇAMENTO!$X$15</f>
        <v>0</v>
      </c>
      <c r="X72" s="737"/>
      <c r="Y72" s="738">
        <f ca="1">ROUND(Y73,2)/ORÇAMENTO!$X$15</f>
        <v>0</v>
      </c>
      <c r="Z72" s="738"/>
      <c r="AA72" s="737">
        <f ca="1">ROUND(AA73,2)/ORÇAMENTO!$X$15</f>
        <v>0</v>
      </c>
      <c r="AB72" s="737"/>
      <c r="AC72" s="738">
        <f ca="1">ROUND(AC73,2)/ORÇAMENTO!$X$15</f>
        <v>0</v>
      </c>
      <c r="AD72" s="738"/>
      <c r="AE72" s="737">
        <f ca="1">ROUND(AE73,2)/ORÇAMENTO!$X$15</f>
        <v>0</v>
      </c>
      <c r="AF72" s="737"/>
    </row>
    <row r="73" spans="1:32" x14ac:dyDescent="0.2">
      <c r="A73" s="9" t="s">
        <v>245</v>
      </c>
      <c r="D73" s="739"/>
      <c r="H73" s="353" t="s">
        <v>300</v>
      </c>
      <c r="I73" s="741">
        <f ca="1">SUMIF(CÁLCULO!$AX$15:$BH$266,"&lt;="&amp;PLE!I69,CÁLCULO!$AB$15:$AL$266)*(1+CÁLCULO.TotalAdmLocal/(ORÇAMENTO!$X$15-CÁLCULO.TotalAdmLocal))</f>
        <v>0</v>
      </c>
      <c r="J73" s="741"/>
      <c r="K73" s="734">
        <f ca="1">SUMIF(CÁLCULO!$AX$15:$BH$266,"&lt;="&amp;PLE!K69,CÁLCULO!$AB$15:$AL$266)*(1+CÁLCULO.TotalAdmLocal/(ORÇAMENTO!$X$15-CÁLCULO.TotalAdmLocal))</f>
        <v>0</v>
      </c>
      <c r="L73" s="734"/>
      <c r="M73" s="733">
        <f ca="1">SUMIF(CÁLCULO!$AX$15:$BH$266,"&lt;="&amp;PLE!M69,CÁLCULO!$AB$15:$AL$266)*(1+CÁLCULO.TotalAdmLocal/(ORÇAMENTO!$X$15-CÁLCULO.TotalAdmLocal))</f>
        <v>0</v>
      </c>
      <c r="N73" s="733"/>
      <c r="O73" s="734">
        <f ca="1">SUMIF(CÁLCULO!$AX$15:$BH$266,"&lt;="&amp;PLE!O69,CÁLCULO!$AB$15:$AL$266)*(1+CÁLCULO.TotalAdmLocal/(ORÇAMENTO!$X$15-CÁLCULO.TotalAdmLocal))</f>
        <v>0</v>
      </c>
      <c r="P73" s="734"/>
      <c r="Q73" s="733">
        <f ca="1">SUMIF(CÁLCULO!$AX$15:$BH$266,"&lt;="&amp;PLE!Q69,CÁLCULO!$AB$15:$AL$266)*(1+CÁLCULO.TotalAdmLocal/(ORÇAMENTO!$X$15-CÁLCULO.TotalAdmLocal))</f>
        <v>0</v>
      </c>
      <c r="R73" s="733"/>
      <c r="S73" s="734">
        <f ca="1">SUMIF(CÁLCULO!$AX$15:$BH$266,"&lt;="&amp;PLE!S69,CÁLCULO!$AB$15:$AL$266)*(1+CÁLCULO.TotalAdmLocal/(ORÇAMENTO!$X$15-CÁLCULO.TotalAdmLocal))</f>
        <v>0</v>
      </c>
      <c r="T73" s="734"/>
      <c r="U73" s="733">
        <f ca="1">SUMIF(CÁLCULO!$AX$15:$BH$266,"&lt;="&amp;PLE!U69,CÁLCULO!$AB$15:$AL$266)*(1+CÁLCULO.TotalAdmLocal/(ORÇAMENTO!$X$15-CÁLCULO.TotalAdmLocal))</f>
        <v>0</v>
      </c>
      <c r="V73" s="733"/>
      <c r="W73" s="734">
        <f ca="1">SUMIF(CÁLCULO!$AX$15:$BH$266,"&lt;="&amp;PLE!W69,CÁLCULO!$AB$15:$AL$266)*(1+CÁLCULO.TotalAdmLocal/(ORÇAMENTO!$X$15-CÁLCULO.TotalAdmLocal))</f>
        <v>0</v>
      </c>
      <c r="X73" s="734"/>
      <c r="Y73" s="733">
        <f ca="1">SUMIF(CÁLCULO!$AX$15:$BH$266,"&lt;="&amp;PLE!Y69,CÁLCULO!$AB$15:$AL$266)*(1+CÁLCULO.TotalAdmLocal/(ORÇAMENTO!$X$15-CÁLCULO.TotalAdmLocal))</f>
        <v>0</v>
      </c>
      <c r="Z73" s="733"/>
      <c r="AA73" s="734">
        <f ca="1">SUMIF(CÁLCULO!$AX$15:$BH$266,"&lt;="&amp;PLE!AA69,CÁLCULO!$AB$15:$AL$266)*(1+CÁLCULO.TotalAdmLocal/(ORÇAMENTO!$X$15-CÁLCULO.TotalAdmLocal))</f>
        <v>0</v>
      </c>
      <c r="AB73" s="734"/>
      <c r="AC73" s="733">
        <f ca="1">SUMIF(CÁLCULO!$AX$15:$BH$266,"&lt;="&amp;PLE!AC69,CÁLCULO!$AB$15:$AL$266)*(1+CÁLCULO.TotalAdmLocal/(ORÇAMENTO!$X$15-CÁLCULO.TotalAdmLocal))</f>
        <v>0</v>
      </c>
      <c r="AD73" s="733"/>
      <c r="AE73" s="734">
        <f ca="1">SUMIF(CÁLCULO!$AX$15:$BH$266,"&lt;="&amp;PLE!AE69,CÁLCULO!$AB$15:$AL$266)*(1+CÁLCULO.TotalAdmLocal/(ORÇAMENTO!$X$15-CÁLCULO.TotalAdmLocal))</f>
        <v>0</v>
      </c>
      <c r="AF73" s="73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6" t="str">
        <f>Import.Município</f>
        <v>CÉU AZUL</v>
      </c>
      <c r="C75" s="706"/>
      <c r="D75" s="706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701">
        <f ca="1">DADOS!$F$47</f>
        <v>44656</v>
      </c>
      <c r="C78" s="701"/>
      <c r="D78" s="701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PR21735/D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disablePrompts="1"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4" t="s">
        <v>439</v>
      </c>
      <c r="E3" s="684"/>
      <c r="F3" s="112" t="s">
        <v>440</v>
      </c>
      <c r="G3" s="684" t="s">
        <v>146</v>
      </c>
      <c r="H3" s="684"/>
      <c r="I3" s="684"/>
      <c r="J3" s="757" t="s">
        <v>305</v>
      </c>
      <c r="K3" s="757"/>
      <c r="L3" s="757"/>
      <c r="M3" s="758" t="s">
        <v>306</v>
      </c>
      <c r="N3" s="758"/>
      <c r="O3" s="758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7">
        <f>Import.CR</f>
        <v>0</v>
      </c>
      <c r="E4" s="687"/>
      <c r="F4" s="73">
        <f>Import.SICONV</f>
        <v>0</v>
      </c>
      <c r="G4" s="687" t="str">
        <f>Import.Proponente</f>
        <v>MUNICIPIO DE CÉU AZUL</v>
      </c>
      <c r="H4" s="687"/>
      <c r="I4" s="687"/>
      <c r="J4" s="759" t="str">
        <f>Import.Município</f>
        <v>CÉU AZUL</v>
      </c>
      <c r="K4" s="759"/>
      <c r="L4" s="759"/>
      <c r="M4" s="758"/>
      <c r="N4" s="758"/>
      <c r="O4" s="758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4" t="s">
        <v>201</v>
      </c>
      <c r="E6" s="684"/>
      <c r="F6" s="684"/>
      <c r="G6" s="684"/>
      <c r="H6" s="684"/>
      <c r="I6" s="684"/>
      <c r="J6" s="684"/>
      <c r="K6" s="684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7" t="s">
        <v>208</v>
      </c>
      <c r="D7" s="687" t="str">
        <f>Import.Apelido</f>
        <v>REFORMA UBS NOVA UNIÃO</v>
      </c>
      <c r="E7" s="687"/>
      <c r="F7" s="687"/>
      <c r="G7" s="687"/>
      <c r="H7" s="687"/>
      <c r="I7" s="687"/>
      <c r="J7" s="687"/>
      <c r="K7" s="687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7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7"/>
      <c r="E9" s="16"/>
      <c r="G9" s="755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5"/>
      <c r="I9" s="755"/>
      <c r="J9" s="755"/>
      <c r="K9" s="756" t="s">
        <v>312</v>
      </c>
      <c r="L9" s="363" t="str">
        <f>$L$13</f>
        <v>Repasse (R$)</v>
      </c>
      <c r="M9" s="363" t="s">
        <v>237</v>
      </c>
      <c r="AD9" s="753"/>
      <c r="AE9" s="753"/>
    </row>
    <row r="10" spans="1:31" ht="12.75" customHeight="1" x14ac:dyDescent="0.2">
      <c r="A10" s="752" t="s">
        <v>313</v>
      </c>
      <c r="C10" s="677"/>
      <c r="G10" s="755"/>
      <c r="H10" s="755"/>
      <c r="I10" s="755"/>
      <c r="J10" s="755"/>
      <c r="K10" s="756"/>
      <c r="L10" s="364">
        <f ca="1">Import.Repasse-L24</f>
        <v>0</v>
      </c>
      <c r="M10" s="365">
        <f ca="1">Import.Contrapartida-M24</f>
        <v>-55942.83</v>
      </c>
      <c r="Z10" s="697" t="s">
        <v>215</v>
      </c>
      <c r="AA10" s="697"/>
      <c r="AB10" s="697"/>
      <c r="AD10" s="753" t="s">
        <v>314</v>
      </c>
      <c r="AE10" s="753"/>
    </row>
    <row r="11" spans="1:31" ht="20.100000000000001" customHeight="1" x14ac:dyDescent="0.2">
      <c r="A11" s="752"/>
      <c r="C11" s="677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(PLACA DE OBRA)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1081.94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1081.94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1081.94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1081.94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PAREDE E FORRO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7259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7259</v>
      </c>
      <c r="P15" s="579"/>
      <c r="R15" s="609"/>
      <c r="T15" s="610"/>
      <c r="U15" s="374"/>
      <c r="V15" s="611" t="s">
        <v>316</v>
      </c>
      <c r="W15" s="375">
        <f t="shared" ca="1" si="7"/>
        <v>7259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7259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>PINTURA</v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>LOTE 1</v>
      </c>
      <c r="L16" s="369">
        <f t="shared" ca="1" si="4"/>
        <v>0</v>
      </c>
      <c r="M16" s="370">
        <f t="shared" ca="1" si="5"/>
        <v>29599.17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29599.17</v>
      </c>
      <c r="P16" s="579"/>
      <c r="R16" s="609"/>
      <c r="T16" s="610"/>
      <c r="U16" s="374"/>
      <c r="V16" s="611" t="s">
        <v>316</v>
      </c>
      <c r="W16" s="375">
        <f t="shared" ca="1" si="7"/>
        <v>29599.17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29599.17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>ESQUADRIAS</v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>LOTE 1</v>
      </c>
      <c r="L17" s="369">
        <f t="shared" ca="1" si="4"/>
        <v>0</v>
      </c>
      <c r="M17" s="370">
        <f t="shared" ca="1" si="5"/>
        <v>1729.41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1729.41</v>
      </c>
      <c r="P17" s="579"/>
      <c r="R17" s="609"/>
      <c r="T17" s="610"/>
      <c r="U17" s="374"/>
      <c r="V17" s="611" t="s">
        <v>316</v>
      </c>
      <c r="W17" s="375">
        <f t="shared" ca="1" si="7"/>
        <v>1729.41</v>
      </c>
      <c r="X17" s="376">
        <v>0</v>
      </c>
      <c r="Z17" s="377">
        <f t="shared" ca="1" si="8"/>
        <v>2.2737367544323206E-13</v>
      </c>
      <c r="AA17">
        <f ca="1">IF($B17="Branco",0,IF($B17="Manual",QCI.CPManual,IF($B17="SemiAuto",ROUND(QCI!$AA$3*QCI.InvManual,2),INDEX(ORÇAMENTO!$AA$15:$AA$266,MATCH($A17,ORÇAMENTO!$E$15:$E$266,0)))))</f>
        <v>1729.4099999999999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Automático</v>
      </c>
      <c r="C18" t="str">
        <f t="shared" ca="1" si="1"/>
        <v>F</v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>(COBERTURA)</v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>LOTE 1</v>
      </c>
      <c r="L18" s="369">
        <f t="shared" ca="1" si="4"/>
        <v>0</v>
      </c>
      <c r="M18" s="370">
        <f t="shared" ca="1" si="5"/>
        <v>16273.31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16273.31</v>
      </c>
      <c r="P18" s="579"/>
      <c r="R18" s="609"/>
      <c r="T18" s="610"/>
      <c r="U18" s="374"/>
      <c r="V18" s="611" t="s">
        <v>316</v>
      </c>
      <c r="W18" s="375">
        <f t="shared" ca="1" si="7"/>
        <v>16273.31</v>
      </c>
      <c r="X18" s="376">
        <v>0</v>
      </c>
      <c r="Z18" s="377">
        <f t="shared" ca="1" si="8"/>
        <v>-1.8189894035458565E-12</v>
      </c>
      <c r="AA18">
        <f ca="1">IF($B18="Branco",0,IF($B18="Manual",QCI.CPManual,IF($B18="SemiAuto",ROUND(QCI!$AA$3*QCI.InvManual,2),INDEX(ORÇAMENTO!$AA$15:$AA$266,MATCH($A18,ORÇAMENTO!$E$15:$E$266,0)))))</f>
        <v>16273.310000000001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4" t="s">
        <v>327</v>
      </c>
      <c r="L24" s="388">
        <f ca="1">SUM(L13:OFFSET(L24,-1,0))</f>
        <v>0</v>
      </c>
      <c r="M24" s="389">
        <f ca="1">SUM(M13:OFFSET(M24,-1,0))</f>
        <v>55942.83</v>
      </c>
      <c r="N24" s="390">
        <f ca="1">SUM(N13:OFFSET(N24,-1,0))</f>
        <v>0</v>
      </c>
      <c r="O24" s="391">
        <f ca="1">SUM(O13:OFFSET(O24,-1,0))</f>
        <v>55942.83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55942.83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4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</row>
    <row r="29" spans="1:31" ht="12.75" customHeight="1" x14ac:dyDescent="0.2"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</row>
    <row r="30" spans="1:31" ht="12.75" customHeight="1" x14ac:dyDescent="0.2"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</row>
    <row r="33" spans="4:12" ht="15" x14ac:dyDescent="0.2">
      <c r="D33" s="706" t="str">
        <f>Import.Município</f>
        <v>CÉU AZUL</v>
      </c>
      <c r="E33" s="706"/>
      <c r="F33" s="706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1">
        <f>DADOS!$F$25</f>
        <v>44628</v>
      </c>
      <c r="E36" s="701"/>
      <c r="F36" s="701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5" t="b">
        <v>0</v>
      </c>
      <c r="B3" s="775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4" t="s">
        <v>146</v>
      </c>
      <c r="E4" s="684"/>
      <c r="F4" s="695" t="s">
        <v>439</v>
      </c>
      <c r="G4" s="695"/>
      <c r="H4" s="695"/>
      <c r="I4" s="184" t="s">
        <v>440</v>
      </c>
      <c r="J4" s="684" t="s">
        <v>201</v>
      </c>
      <c r="K4" s="684"/>
      <c r="L4" s="684"/>
      <c r="M4" s="684"/>
      <c r="N4" s="684"/>
      <c r="O4" s="186" t="s">
        <v>331</v>
      </c>
    </row>
    <row r="5" spans="1:41" ht="12.75" customHeight="1" x14ac:dyDescent="0.2">
      <c r="A5" t="s">
        <v>332</v>
      </c>
      <c r="C5" s="105"/>
      <c r="D5" s="687" t="str">
        <f>Import.Proponente</f>
        <v>MUNICIPIO DE CÉU AZUL</v>
      </c>
      <c r="E5" s="687"/>
      <c r="F5" s="700">
        <f>Import.CR</f>
        <v>0</v>
      </c>
      <c r="G5" s="700"/>
      <c r="H5" s="700"/>
      <c r="I5" s="416">
        <f>Import.SICONV</f>
        <v>0</v>
      </c>
      <c r="J5" s="687" t="str">
        <f>Import.Apelido</f>
        <v>REFORMA UBS NOVA UNIÃO</v>
      </c>
      <c r="K5" s="687"/>
      <c r="L5" s="687"/>
      <c r="M5" s="687"/>
      <c r="N5" s="687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4" t="s">
        <v>336</v>
      </c>
      <c r="G7" s="684"/>
      <c r="H7" s="684"/>
      <c r="I7" s="684" t="str">
        <f>IF(TIPOORCAMENTO="Licitado","REGIME DE EXECUÇÃO","MUNICÍPIO / UF")</f>
        <v>MUNICÍPIO / UF</v>
      </c>
      <c r="J7" s="684"/>
      <c r="K7" s="684"/>
      <c r="L7" s="684"/>
      <c r="M7" s="684" t="s">
        <v>337</v>
      </c>
      <c r="N7" s="684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7" t="s">
        <v>208</v>
      </c>
      <c r="D8" s="420">
        <f>Import.CTEF</f>
        <v>0</v>
      </c>
      <c r="E8" s="73">
        <f>Import.empresa</f>
        <v>0</v>
      </c>
      <c r="F8" s="687">
        <f>Import.CNPJ</f>
        <v>0</v>
      </c>
      <c r="G8" s="687"/>
      <c r="H8" s="687"/>
      <c r="I8" s="687" t="str">
        <f>IF(TIPOORCAMENTO="Licitado",Import.RegimeExecução,Import.Município)</f>
        <v>CÉU AZUL</v>
      </c>
      <c r="J8" s="687"/>
      <c r="K8" s="687"/>
      <c r="L8" s="687"/>
      <c r="M8" s="687" t="str">
        <f ca="1">TEXT(IF(BM.medicao=1,Import.DataInicioObra,OFFSET($AB$12,0,BM.medicao-1-$AB$13)+1),"dd/mm/aaaa")&amp;" a "&amp;TEXT(OFFSET($AB$12,0,BM.medicao-$AB$13),"dd/mm/aaaa")</f>
        <v>00/01/1900 a 00/01/1900</v>
      </c>
      <c r="N8" s="687"/>
      <c r="O8" s="541">
        <v>1</v>
      </c>
    </row>
    <row r="9" spans="1:41" ht="12.75" customHeight="1" x14ac:dyDescent="0.2">
      <c r="A9" s="578" t="b">
        <v>1</v>
      </c>
      <c r="B9" s="55"/>
      <c r="C9" s="677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7"/>
      <c r="D10" s="16"/>
      <c r="E10" s="773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3"/>
      <c r="G10" s="773"/>
      <c r="H10" s="773"/>
      <c r="I10" s="773"/>
      <c r="J10" s="105"/>
      <c r="K10" s="105"/>
      <c r="L10" s="105"/>
      <c r="N10" s="774" t="str">
        <f ca="1">"Realizado Acumulado: "&amp;TEXT(ROUND($O$15/($I$15+10^-12),4),"0,00%")</f>
        <v>Realizado Acumulado: 0,00%</v>
      </c>
      <c r="O10" s="774"/>
    </row>
    <row r="11" spans="1:41" ht="15" customHeight="1" x14ac:dyDescent="0.25">
      <c r="C11" s="677"/>
      <c r="D11" s="105"/>
      <c r="E11" s="773"/>
      <c r="F11" s="773"/>
      <c r="G11" s="773"/>
      <c r="H11" s="773"/>
      <c r="I11" s="773"/>
      <c r="J11" s="105"/>
      <c r="K11" s="105"/>
      <c r="L11" s="105"/>
      <c r="M11" s="105"/>
      <c r="N11" s="774"/>
      <c r="O11" s="774"/>
      <c r="T11" s="772" t="s">
        <v>340</v>
      </c>
      <c r="U11" s="772"/>
      <c r="V11" s="101"/>
      <c r="W11" s="101"/>
      <c r="X11" s="101"/>
      <c r="Y11" s="101"/>
      <c r="Z11" s="60"/>
      <c r="AB11" s="769" t="s">
        <v>341</v>
      </c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</row>
    <row r="12" spans="1:41" ht="15" customHeight="1" x14ac:dyDescent="0.25">
      <c r="C12" s="677"/>
      <c r="D12" s="105"/>
      <c r="E12" s="200" t="s">
        <v>342</v>
      </c>
      <c r="F12" s="105"/>
      <c r="G12" s="105"/>
      <c r="H12" s="105"/>
      <c r="I12" s="105"/>
      <c r="J12" s="770" t="str">
        <f ca="1">"Evolução Física "&amp;CHOOSE(MATCH(RegimeExecucao,{"Unitário","Global"},0),"(Qtde.)","(%)")</f>
        <v>Evolução Física (Qtde.)</v>
      </c>
      <c r="K12" s="770"/>
      <c r="L12" s="770"/>
      <c r="M12" s="770" t="s">
        <v>343</v>
      </c>
      <c r="N12" s="770"/>
      <c r="O12" s="770"/>
      <c r="Q12" s="771" t="str">
        <f ca="1">"Aferido (CAIXA) "&amp;CHOOSE(MATCH(RegimeExecucao,{"Unitário","Global"},0),"(Qtde.)","(%)")</f>
        <v>Aferido (CAIXA) (Qtde.)</v>
      </c>
      <c r="R12" s="771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8" t="str">
        <f>"Objeto do CTEF: "&amp;Import.DescLote</f>
        <v xml:space="preserve">Objeto do CTEF: </v>
      </c>
      <c r="E15" s="768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4" t="str">
        <f ca="1">"Preencher abaixo com a "&amp;CHOOSE(MATCH(RegimeExecucao,{"Unitário","Global"},0),"QUANTIDADE","PORCENTAGEM")&amp;" executada no PERÍODO"</f>
        <v>Preencher abaixo com a QUANTIDADE executada no PERÍODO</v>
      </c>
      <c r="AC15" s="764"/>
      <c r="AD15" s="764"/>
      <c r="AE15" s="764"/>
      <c r="AF15" s="764"/>
      <c r="AG15" s="764"/>
      <c r="AH15" s="764"/>
      <c r="AI15" s="764"/>
      <c r="AJ15" s="764"/>
      <c r="AK15" s="764"/>
      <c r="AL15" s="764"/>
      <c r="AM15" s="764"/>
    </row>
    <row r="16" spans="1:41" x14ac:dyDescent="0.2">
      <c r="A16">
        <f ca="1">ORÇAMENTO!C16</f>
        <v>1</v>
      </c>
      <c r="B16">
        <f ca="1">ORÇAMENTO!D16</f>
        <v>6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(PLACA DE OBRA)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1081.94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</v>
      </c>
      <c r="C17" s="144" t="str">
        <f t="shared" ca="1" si="1"/>
        <v>F</v>
      </c>
      <c r="D17" s="147" t="str">
        <f ca="1">ORÇAMENTO!O17</f>
        <v>1.1.</v>
      </c>
      <c r="E17" s="207">
        <f t="shared" si="2"/>
        <v>0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0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>
        <f ca="1">ORÇAMENTO!C18</f>
        <v>2</v>
      </c>
      <c r="B18">
        <f ca="1">ORÇAMENTO!D18</f>
        <v>4</v>
      </c>
      <c r="C18" s="144" t="str">
        <f t="shared" ca="1" si="1"/>
        <v>F</v>
      </c>
      <c r="D18" s="147" t="str">
        <f ca="1">ORÇAMENTO!O18</f>
        <v>1.2.</v>
      </c>
      <c r="E18" s="207" t="str">
        <f t="shared" ca="1" si="2"/>
        <v>(SERVIÇOS INICIAIS)</v>
      </c>
      <c r="F18" s="208" t="str">
        <f t="shared" ca="1" si="3"/>
        <v>-</v>
      </c>
      <c r="G18" s="152">
        <f ca="1">IF(RegimeExecucao="Global","",ORÇAMENTO!T18)</f>
        <v>0</v>
      </c>
      <c r="H18" s="152">
        <f ca="1">IF(RegimeExecucao="Global","",ORÇAMENTO!W18)</f>
        <v>0</v>
      </c>
      <c r="I18" s="155">
        <f ca="1">ORÇAMENTO!X18</f>
        <v>1081.94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1.2.1.</v>
      </c>
      <c r="E19" s="207" t="str">
        <f t="shared" ca="1" si="2"/>
        <v>PLACA DE OBRA EM CHAPA GALVANIZADA ADESIVADA COM SUPORTE DE MADEIRA</v>
      </c>
      <c r="F19" s="208" t="str">
        <f t="shared" ca="1" si="3"/>
        <v>UNIDADE</v>
      </c>
      <c r="G19" s="152">
        <f ca="1">IF(RegimeExecucao="Global","",ORÇAMENTO!T19)</f>
        <v>1</v>
      </c>
      <c r="H19" s="152">
        <f ca="1">IF(RegimeExecucao="Global","",ORÇAMENTO!W19)</f>
        <v>1081.94</v>
      </c>
      <c r="I19" s="155">
        <f ca="1">ORÇAMENTO!X19</f>
        <v>1081.94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>-</v>
      </c>
      <c r="G20" s="152">
        <f ca="1">IF(RegimeExecucao="Global","",ORÇAMENTO!T20)</f>
        <v>0</v>
      </c>
      <c r="H20" s="152">
        <f ca="1">IF(RegimeExecucao="Global","",ORÇAMENTO!W20)</f>
        <v>0</v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1</v>
      </c>
      <c r="B22">
        <f ca="1">ORÇAMENTO!D22</f>
        <v>36</v>
      </c>
      <c r="C22" s="144" t="str">
        <f t="shared" ca="1" si="1"/>
        <v>F</v>
      </c>
      <c r="D22" s="147" t="str">
        <f ca="1">ORÇAMENTO!O22</f>
        <v>2.</v>
      </c>
      <c r="E22" s="207" t="str">
        <f t="shared" si="2"/>
        <v>PAREDE E FORRO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7259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>
        <f ca="1">ORÇAMENTO!C23</f>
        <v>2</v>
      </c>
      <c r="B23">
        <f ca="1">ORÇAMENTO!D23</f>
        <v>35</v>
      </c>
      <c r="C23" s="144" t="str">
        <f t="shared" ca="1" si="1"/>
        <v>F</v>
      </c>
      <c r="D23" s="147" t="str">
        <f ca="1">ORÇAMENTO!O23</f>
        <v>2.1.</v>
      </c>
      <c r="E23" s="207">
        <f t="shared" si="2"/>
        <v>0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7259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2.1.1.</v>
      </c>
      <c r="E24" s="207" t="str">
        <f t="shared" ca="1" si="2"/>
        <v>REPARO EM TRINCA DE PAREDE COM TELA SELA TRINCA</v>
      </c>
      <c r="F24" s="208" t="str">
        <f t="shared" ca="1" si="3"/>
        <v>M2</v>
      </c>
      <c r="G24" s="152">
        <f ca="1">IF(RegimeExecucao="Global","",ORÇAMENTO!T24)</f>
        <v>25</v>
      </c>
      <c r="H24" s="152">
        <f ca="1">IF(RegimeExecucao="Global","",ORÇAMENTO!W24)</f>
        <v>61.13</v>
      </c>
      <c r="I24" s="155">
        <f ca="1">ORÇAMENTO!X24</f>
        <v>1528.25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2.1.2.</v>
      </c>
      <c r="E25" s="207" t="str">
        <f t="shared" ca="1" si="2"/>
        <v xml:space="preserve">REPARO E FIXAÇÃO DE FORRO E TARRUGAMENTO </v>
      </c>
      <c r="F25" s="208" t="str">
        <f t="shared" ca="1" si="3"/>
        <v>M2</v>
      </c>
      <c r="G25" s="152">
        <f ca="1">IF(RegimeExecucao="Global","",ORÇAMENTO!T25)</f>
        <v>75</v>
      </c>
      <c r="H25" s="152">
        <f ca="1">IF(RegimeExecucao="Global","",ORÇAMENTO!W25)</f>
        <v>76.41</v>
      </c>
      <c r="I25" s="155">
        <f ca="1">ORÇAMENTO!X25</f>
        <v>5730.75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/>
      </c>
      <c r="D26" s="147" t="str">
        <f ca="1">ORÇAMENTO!O26</f>
        <v>-</v>
      </c>
      <c r="E26" s="207" t="str">
        <f t="shared" ca="1" si="2"/>
        <v>(Sem Código)</v>
      </c>
      <c r="F26" s="208" t="str">
        <f t="shared" ca="1" si="3"/>
        <v>-</v>
      </c>
      <c r="G26" s="152">
        <f ca="1">IF(RegimeExecucao="Global","",ORÇAMENTO!T26)</f>
        <v>0</v>
      </c>
      <c r="H26" s="152">
        <f ca="1">IF(RegimeExecucao="Global","",ORÇAMENTO!W26)</f>
        <v>0</v>
      </c>
      <c r="I26" s="155">
        <f ca="1">ORÇAMENTO!X26</f>
        <v>0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(Sem Código)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(Sem Código)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(Sem Código)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(Sem Código)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>
        <f t="shared" si="2"/>
        <v>0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>
        <f t="shared" si="2"/>
        <v>0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(Sem Código)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>
        <f t="shared" si="2"/>
        <v>0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>
        <f ca="1">ORÇAMENTO!C58</f>
        <v>1</v>
      </c>
      <c r="B58">
        <f ca="1">ORÇAMENTO!D58</f>
        <v>20</v>
      </c>
      <c r="C58" s="144" t="str">
        <f t="shared" ca="1" si="1"/>
        <v>F</v>
      </c>
      <c r="D58" s="147" t="str">
        <f ca="1">ORÇAMENTO!O58</f>
        <v>3.</v>
      </c>
      <c r="E58" s="207" t="str">
        <f t="shared" si="2"/>
        <v>PINTURA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29599.17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>
        <f ca="1">ORÇAMENTO!C59</f>
        <v>2</v>
      </c>
      <c r="B59">
        <f ca="1">ORÇAMENTO!D59</f>
        <v>19</v>
      </c>
      <c r="C59" s="144" t="str">
        <f t="shared" ca="1" si="1"/>
        <v>F</v>
      </c>
      <c r="D59" s="147" t="str">
        <f ca="1">ORÇAMENTO!O59</f>
        <v>3.1.</v>
      </c>
      <c r="E59" s="207" t="str">
        <f t="shared" ca="1" si="2"/>
        <v>(SERVIÇOS INICIAIS)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29599.17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ht="25.5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>F</v>
      </c>
      <c r="D61" s="147" t="str">
        <f ca="1">ORÇAMENTO!O61</f>
        <v>3.1.1.</v>
      </c>
      <c r="E61" s="207" t="str">
        <f t="shared" ca="1" si="2"/>
        <v>APLICAÇÃO DO FUNDO PREPARADOR INCLUSO PINTOR E AJUDANTE E MATERIA</v>
      </c>
      <c r="F61" s="208" t="str">
        <f t="shared" ca="1" si="3"/>
        <v>M2</v>
      </c>
      <c r="G61" s="152">
        <f ca="1">IF(RegimeExecucao="Global","",ORÇAMENTO!T61)</f>
        <v>738.83</v>
      </c>
      <c r="H61" s="152">
        <f ca="1">IF(RegimeExecucao="Global","",ORÇAMENTO!W61)</f>
        <v>12.35</v>
      </c>
      <c r="I61" s="155">
        <f ca="1">ORÇAMENTO!X61</f>
        <v>9124.5499999999993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25.5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>F</v>
      </c>
      <c r="D62" s="147" t="str">
        <f ca="1">ORÇAMENTO!O62</f>
        <v>3.1.2.</v>
      </c>
      <c r="E62" s="207" t="str">
        <f t="shared" ca="1" si="2"/>
        <v>APLICAÇÃO MANUAL DE PINTURA COM TINTA LÁTEX ACRÍLICA EM PAREDES, DUAS DEMÃOS. AF_06/2014</v>
      </c>
      <c r="F62" s="208" t="str">
        <f t="shared" ca="1" si="3"/>
        <v>M2</v>
      </c>
      <c r="G62" s="152">
        <f ca="1">IF(RegimeExecucao="Global","",ORÇAMENTO!T62)</f>
        <v>738.83</v>
      </c>
      <c r="H62" s="152">
        <f ca="1">IF(RegimeExecucao="Global","",ORÇAMENTO!W62)</f>
        <v>16.190000000000001</v>
      </c>
      <c r="I62" s="155">
        <f ca="1">ORÇAMENTO!X62</f>
        <v>11961.66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ht="25.5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>F</v>
      </c>
      <c r="D63" s="147" t="str">
        <f ca="1">ORÇAMENTO!O63</f>
        <v>3.1.3.</v>
      </c>
      <c r="E63" s="207" t="str">
        <f t="shared" ca="1" si="2"/>
        <v>TEXTURA ACRÍLICA, APLICAÇÃO MANUAL EM PAREDE, UMA DEMÃO. AF_09/2016</v>
      </c>
      <c r="F63" s="208" t="str">
        <f t="shared" ca="1" si="3"/>
        <v>M2</v>
      </c>
      <c r="G63" s="152">
        <f ca="1">IF(RegimeExecucao="Global","",ORÇAMENTO!T63)</f>
        <v>285.55</v>
      </c>
      <c r="H63" s="152">
        <f ca="1">IF(RegimeExecucao="Global","",ORÇAMENTO!W63)</f>
        <v>16.78</v>
      </c>
      <c r="I63" s="155">
        <f ca="1">ORÇAMENTO!X63</f>
        <v>4791.53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38.25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>F</v>
      </c>
      <c r="D64" s="147" t="str">
        <f ca="1">ORÇAMENTO!O64</f>
        <v>3.1.4.</v>
      </c>
      <c r="E64" s="207" t="str">
        <f t="shared" ca="1" si="2"/>
        <v>APLICAÇÃO MANUAL DE MASSA ACRÍLICA EM PANOS DE FACHADA COM PRESENÇA DE VÃOS, DE EDIFÍCIOS DE MÚLTIPLOS PAVIMENTOS, UMA DEMÃO. AF_05/2017</v>
      </c>
      <c r="F64" s="208" t="str">
        <f t="shared" ca="1" si="3"/>
        <v>M2</v>
      </c>
      <c r="G64" s="152">
        <f ca="1">IF(RegimeExecucao="Global","",ORÇAMENTO!T64)</f>
        <v>453.28</v>
      </c>
      <c r="H64" s="152">
        <f ca="1">IF(RegimeExecucao="Global","",ORÇAMENTO!W64)</f>
        <v>8.2100000000000009</v>
      </c>
      <c r="I64" s="155">
        <f ca="1">ORÇAMENTO!X64</f>
        <v>3721.43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>
        <f ca="1">ORÇAMENTO!C78</f>
        <v>1</v>
      </c>
      <c r="B78">
        <f ca="1">ORÇAMENTO!D78</f>
        <v>17</v>
      </c>
      <c r="C78" s="144" t="str">
        <f t="shared" ca="1" si="1"/>
        <v>F</v>
      </c>
      <c r="D78" s="147" t="str">
        <f ca="1">ORÇAMENTO!O78</f>
        <v>4.</v>
      </c>
      <c r="E78" s="207" t="str">
        <f t="shared" si="2"/>
        <v>ESQUADRIAS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1729.41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>
        <f ca="1">ORÇAMENTO!C79</f>
        <v>2</v>
      </c>
      <c r="B79">
        <f ca="1">ORÇAMENTO!D79</f>
        <v>16</v>
      </c>
      <c r="C79" s="144" t="str">
        <f t="shared" ca="1" si="1"/>
        <v>F</v>
      </c>
      <c r="D79" s="147" t="str">
        <f ca="1">ORÇAMENTO!O79</f>
        <v>4.1.</v>
      </c>
      <c r="E79" s="207" t="str">
        <f t="shared" ca="1" si="2"/>
        <v>(SERVIÇOS INICIAIS)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1729.41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38.25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4.1.1.</v>
      </c>
      <c r="E80" s="207" t="str">
        <f t="shared" ref="E80:E143" ca="1" si="13">ORÇAMENTO.Descricao</f>
        <v>PORTA DE MADEIRA PARA PINTURA, SEMI-OCA (PESADA OU SUPERPESADA), 80X210CM, ESPESSURA DE 3,5CM, INCLUSO DOBRADIÇAS - FORNECIMENTO E INSTALAÇÃO. AF_12/2019</v>
      </c>
      <c r="F80" s="208" t="str">
        <f t="shared" ref="F80:F143" ca="1" si="14">IF(RegimeExecucao="Global","",ORÇAMENTO.Unidade)</f>
        <v>UN</v>
      </c>
      <c r="G80" s="152">
        <f ca="1">IF(RegimeExecucao="Global","",ORÇAMENTO!T80)</f>
        <v>2</v>
      </c>
      <c r="H80" s="152">
        <f ca="1">IF(RegimeExecucao="Global","",ORÇAMENTO!W80)</f>
        <v>356.58</v>
      </c>
      <c r="I80" s="155">
        <f ca="1">ORÇAMENTO!X80</f>
        <v>713.16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38.25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4.1.2.</v>
      </c>
      <c r="E82" s="207" t="str">
        <f t="shared" ca="1" si="13"/>
        <v>PORTA EM ALUMÍNIO DE ABRIR TIPO VENEZIANA COM GUARNIÇÃO, FIXAÇÃO COM PARAFUSOS - FORNECIMENTO E INSTALAÇÃO. AF_12/2019</v>
      </c>
      <c r="F82" s="208" t="str">
        <f t="shared" ca="1" si="14"/>
        <v>M2</v>
      </c>
      <c r="G82" s="152">
        <f ca="1">IF(RegimeExecucao="Global","",ORÇAMENTO!T82)</f>
        <v>1.68</v>
      </c>
      <c r="H82" s="152">
        <f ca="1">IF(RegimeExecucao="Global","",ORÇAMENTO!W82)</f>
        <v>604.91</v>
      </c>
      <c r="I82" s="155">
        <f ca="1">ORÇAMENTO!X82</f>
        <v>1016.25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91.87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>
        <f ca="1">ORÇAMENTO!C95</f>
        <v>1</v>
      </c>
      <c r="B95">
        <f ca="1">ORÇAMENTO!D95</f>
        <v>171</v>
      </c>
      <c r="C95" s="144" t="str">
        <f t="shared" ca="1" si="12"/>
        <v>F</v>
      </c>
      <c r="D95" s="147" t="str">
        <f ca="1">ORÇAMENTO!O95</f>
        <v>5.</v>
      </c>
      <c r="E95" s="207" t="str">
        <f t="shared" ca="1" si="13"/>
        <v>(COBERTURA)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16273.31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>
        <f ca="1">ORÇAMENTO!C96</f>
        <v>2</v>
      </c>
      <c r="B96">
        <f ca="1">ORÇAMENTO!D96</f>
        <v>170</v>
      </c>
      <c r="C96" s="144" t="str">
        <f t="shared" ca="1" si="12"/>
        <v>F</v>
      </c>
      <c r="D96" s="147" t="str">
        <f ca="1">ORÇAMENTO!O96</f>
        <v>5.1.</v>
      </c>
      <c r="E96" s="207" t="str">
        <f t="shared" ca="1" si="13"/>
        <v>(SERVIÇOS INICIAIS)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16273.31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ht="38.25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>F</v>
      </c>
      <c r="D97" s="147" t="str">
        <f ca="1">ORÇAMENTO!O97</f>
        <v>5.1.1.</v>
      </c>
      <c r="E97" s="207" t="str">
        <f t="shared" ca="1" si="13"/>
        <v>RETIRADA E RECOLOCAÇÃO DE CAIBRO EM TELHADOS DE ATÉ 2 ÁGUAS COM TELHA CERÂMICA OU DE CONCRETO DE ENCAIXE, INCLUSO TRANSPORTE VERTICAL. AF_07/2019</v>
      </c>
      <c r="F97" s="208" t="str">
        <f t="shared" ca="1" si="14"/>
        <v>M2</v>
      </c>
      <c r="G97" s="152">
        <f ca="1">IF(RegimeExecucao="Global","",ORÇAMENTO!T97)</f>
        <v>90</v>
      </c>
      <c r="H97" s="152">
        <f ca="1">IF(RegimeExecucao="Global","",ORÇAMENTO!W97)</f>
        <v>20.83</v>
      </c>
      <c r="I97" s="155">
        <f ca="1">ORÇAMENTO!X97</f>
        <v>1874.7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5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>F</v>
      </c>
      <c r="D98" s="147" t="str">
        <f ca="1">ORÇAMENTO!O98</f>
        <v>5.1.2.</v>
      </c>
      <c r="E98" s="207" t="str">
        <f t="shared" ca="1" si="13"/>
        <v>TELHAMENTO COM TELHA ONDULADA DE FIBROCIMENTO E = 6 MM, COM RECOBRIMENTO LATERAL DE 1/4 DE ONDA PARA TELHADO COM INCLINAÇÃO MAIOR QUE 10°, COM ATÉ 2 ÁGUAS, INCLUSO IÇAMENTO. AF_07/2019</v>
      </c>
      <c r="F98" s="208" t="str">
        <f t="shared" ca="1" si="14"/>
        <v>M2</v>
      </c>
      <c r="G98" s="152">
        <f ca="1">IF(RegimeExecucao="Global","",ORÇAMENTO!T98)</f>
        <v>136</v>
      </c>
      <c r="H98" s="152">
        <f ca="1">IF(RegimeExecucao="Global","",ORÇAMENTO!W98)</f>
        <v>56.71</v>
      </c>
      <c r="I98" s="155">
        <f ca="1">ORÇAMENTO!X98</f>
        <v>7712.56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ht="38.25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>F</v>
      </c>
      <c r="D99" s="147" t="str">
        <f ca="1">ORÇAMENTO!O99</f>
        <v>5.1.3.</v>
      </c>
      <c r="E99" s="207" t="str">
        <f t="shared" ca="1" si="13"/>
        <v>CALHA EM CHAPA DE AÇO GALVANIZADO NÚMERO 24, DESENVOLVIMENTO DE 100 CM, INCLUSO TRANSPORTE VERTICAL. AF_07/2019</v>
      </c>
      <c r="F99" s="208" t="str">
        <f t="shared" ca="1" si="14"/>
        <v>M</v>
      </c>
      <c r="G99" s="152">
        <f ca="1">IF(RegimeExecucao="Global","",ORÇAMENTO!T99)</f>
        <v>35</v>
      </c>
      <c r="H99" s="152">
        <f ca="1">IF(RegimeExecucao="Global","",ORÇAMENTO!W99)</f>
        <v>191.03</v>
      </c>
      <c r="I99" s="155">
        <f ca="1">ORÇAMENTO!X99</f>
        <v>6686.05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>
        <f t="shared" si="13"/>
        <v>0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>
        <f t="shared" si="13"/>
        <v>0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>
        <f t="shared" si="13"/>
        <v>0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>
        <f t="shared" si="13"/>
        <v>0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5" t="s">
        <v>186</v>
      </c>
      <c r="E268" s="765"/>
      <c r="F268" s="765"/>
      <c r="G268" s="765"/>
      <c r="H268" s="765"/>
      <c r="I268" s="765"/>
      <c r="J268" s="765"/>
      <c r="K268" s="765"/>
      <c r="L268" s="765"/>
      <c r="M268" s="765"/>
      <c r="N268" s="765"/>
      <c r="O268" s="765"/>
      <c r="T268" s="766" t="s">
        <v>352</v>
      </c>
      <c r="U268" s="766"/>
      <c r="V268" s="766"/>
      <c r="W268" s="766"/>
      <c r="X268" s="766"/>
      <c r="Y268" s="766"/>
      <c r="Z268" s="766"/>
    </row>
    <row r="269" spans="1:41" ht="12.75" customHeight="1" x14ac:dyDescent="0.2">
      <c r="C269" s="105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T269" s="767"/>
      <c r="U269" s="767"/>
      <c r="V269" s="767"/>
      <c r="W269" s="767"/>
      <c r="X269" s="767"/>
      <c r="Y269" s="767"/>
      <c r="Z269" s="767"/>
    </row>
    <row r="270" spans="1:41" ht="12.75" customHeight="1" x14ac:dyDescent="0.2">
      <c r="C270" s="105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T270" s="767"/>
      <c r="U270" s="767"/>
      <c r="V270" s="767"/>
      <c r="W270" s="767"/>
      <c r="X270" s="767"/>
      <c r="Y270" s="767"/>
      <c r="Z270" s="767"/>
    </row>
    <row r="271" spans="1:41" ht="12.75" customHeight="1" x14ac:dyDescent="0.2">
      <c r="C271" s="105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T271" s="767"/>
      <c r="U271" s="767"/>
      <c r="V271" s="767"/>
      <c r="W271" s="767"/>
      <c r="X271" s="767"/>
      <c r="Y271" s="767"/>
      <c r="Z271" s="767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5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5"/>
      <c r="F273" s="705"/>
      <c r="G273" s="705"/>
      <c r="H273" s="705"/>
      <c r="I273" s="705"/>
      <c r="J273" s="705"/>
      <c r="K273" s="705"/>
      <c r="L273" s="705"/>
    </row>
    <row r="274" spans="3:26" x14ac:dyDescent="0.2">
      <c r="C274" s="105"/>
      <c r="D274" s="763"/>
      <c r="E274" s="763"/>
      <c r="F274" s="763"/>
      <c r="G274" s="763"/>
      <c r="H274" s="763"/>
      <c r="I274" s="763"/>
    </row>
    <row r="275" spans="3:26" x14ac:dyDescent="0.2">
      <c r="C275" s="105"/>
      <c r="D275" s="761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</row>
    <row r="276" spans="3:26" ht="39.950000000000003" customHeight="1" x14ac:dyDescent="0.2">
      <c r="C276" s="105"/>
      <c r="E276" s="175" t="str">
        <f>Import.Município</f>
        <v>CÉU AZUL</v>
      </c>
      <c r="J276" s="762"/>
      <c r="K276" s="762"/>
      <c r="L276" s="762"/>
      <c r="M276" s="762"/>
      <c r="N276" s="105"/>
      <c r="O276" s="105"/>
      <c r="W276" s="762"/>
      <c r="X276" s="762"/>
      <c r="Y276" s="762"/>
      <c r="Z276" s="762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60"/>
      <c r="Y278" s="760"/>
      <c r="Z278" s="760"/>
    </row>
    <row r="279" spans="3:26" x14ac:dyDescent="0.2">
      <c r="C279" s="105"/>
      <c r="E279" s="601">
        <f ca="1">DADOS!$F$47</f>
        <v>44656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60"/>
      <c r="Y279" s="760"/>
      <c r="Z279" s="760"/>
    </row>
    <row r="280" spans="3:26" x14ac:dyDescent="0.2">
      <c r="C280" s="105"/>
      <c r="E280" s="178" t="s">
        <v>188</v>
      </c>
      <c r="J280" s="95" t="s">
        <v>108</v>
      </c>
      <c r="K280" s="354" t="str">
        <v>PR21735/D</v>
      </c>
      <c r="L280" s="96"/>
      <c r="M280" s="105"/>
      <c r="N280" s="105"/>
      <c r="O280" s="105"/>
      <c r="W280" s="95" t="s">
        <v>108</v>
      </c>
      <c r="X280" s="760"/>
      <c r="Y280" s="760"/>
      <c r="Z280" s="760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5" t="s">
        <v>146</v>
      </c>
      <c r="F3" s="695"/>
      <c r="G3" s="695"/>
      <c r="H3" s="695"/>
      <c r="I3" s="684" t="s">
        <v>439</v>
      </c>
      <c r="J3" s="684"/>
      <c r="K3" s="684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0" t="str">
        <f>Import.Proponente</f>
        <v>MUNICIPIO DE CÉU AZUL</v>
      </c>
      <c r="F4" s="700"/>
      <c r="G4" s="700"/>
      <c r="H4" s="700"/>
      <c r="I4" s="687">
        <f>Import.CR</f>
        <v>0</v>
      </c>
      <c r="J4" s="687"/>
      <c r="K4" s="687"/>
      <c r="L4" s="73">
        <f>Import.SICONV</f>
        <v>0</v>
      </c>
      <c r="M4" s="776" t="s">
        <v>306</v>
      </c>
      <c r="N4" s="777"/>
      <c r="O4" s="778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4" t="s">
        <v>201</v>
      </c>
      <c r="F6" s="684"/>
      <c r="G6" s="684"/>
      <c r="H6" s="684"/>
      <c r="I6" s="804" t="s">
        <v>305</v>
      </c>
      <c r="J6" s="804"/>
      <c r="K6" s="804"/>
      <c r="L6" s="804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7" t="s">
        <v>208</v>
      </c>
      <c r="E7" s="687" t="str">
        <f>Import.Apelido</f>
        <v>REFORMA UBS NOVA UNIÃO</v>
      </c>
      <c r="F7" s="687"/>
      <c r="G7" s="687"/>
      <c r="H7" s="687"/>
      <c r="I7" s="801" t="str">
        <f>Import.Município</f>
        <v>CÉU AZUL</v>
      </c>
      <c r="J7" s="801"/>
      <c r="K7" s="801"/>
      <c r="L7" s="801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7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7"/>
      <c r="G9" s="802" t="s">
        <v>360</v>
      </c>
      <c r="H9" s="802"/>
      <c r="I9" s="802" t="s">
        <v>361</v>
      </c>
      <c r="J9" s="802"/>
      <c r="K9" s="453"/>
      <c r="L9" s="803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7"/>
      <c r="G10" s="689" t="str">
        <f ca="1">IF(J10="-","-",IF($P$24&lt;J10,"Atrasada",IF($P$24&gt;J10,"Adiantada","Normal")))</f>
        <v>Normal</v>
      </c>
      <c r="H10" s="689"/>
      <c r="I10" s="456">
        <f>DATE(YEAR($L$35),MONTH($L$35),1)</f>
        <v>44621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3"/>
      <c r="M10" s="458">
        <f ca="1">QCI!L10</f>
        <v>0</v>
      </c>
      <c r="N10" s="365">
        <f ca="1">QCI!M10</f>
        <v>-55942.83</v>
      </c>
      <c r="P10" s="455"/>
      <c r="R10" s="185"/>
      <c r="S10" s="185"/>
      <c r="T10" s="185"/>
      <c r="U10" s="185"/>
      <c r="AC10" s="798" t="s">
        <v>363</v>
      </c>
      <c r="AD10" s="798"/>
      <c r="AE10" s="798"/>
      <c r="AF10" s="798"/>
      <c r="AG10" s="798"/>
      <c r="AH10" s="798"/>
      <c r="AJ10" s="798" t="s">
        <v>4</v>
      </c>
      <c r="AK10" s="798"/>
      <c r="AL10" s="798"/>
      <c r="AM10" s="798"/>
      <c r="AN10" s="798"/>
      <c r="AO10" s="798"/>
    </row>
    <row r="11" spans="1:41" ht="20.100000000000001" customHeight="1" x14ac:dyDescent="0.2">
      <c r="D11" s="677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9" t="str">
        <f>IF(CAIXA.Modo,"Valores Aferidos (R$)","Valores Medidos (R$)")</f>
        <v>Valores Medidos (R$)</v>
      </c>
      <c r="Z11" s="799"/>
      <c r="AC11" s="800" t="s">
        <v>364</v>
      </c>
      <c r="AD11" s="800"/>
      <c r="AE11" s="800"/>
      <c r="AF11" s="800" t="s">
        <v>365</v>
      </c>
      <c r="AG11" s="800"/>
      <c r="AH11" s="800"/>
      <c r="AJ11" s="800" t="s">
        <v>364</v>
      </c>
      <c r="AK11" s="800"/>
      <c r="AL11" s="800"/>
      <c r="AM11" s="800" t="s">
        <v>365</v>
      </c>
      <c r="AN11" s="800"/>
      <c r="AO11" s="800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6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(PLACA DE OBRA)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1081.94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7</v>
      </c>
      <c r="B15">
        <f ca="1">IF(ISERROR($A15),NA(),OFFSET(ORÇAMENTO!$D$15,$A15,0))</f>
        <v>36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PAREDE E FORRO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7259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>
        <f ca="1">MATCH(E16,ORÇAMENTO!$E$15:$E$266,0)-1</f>
        <v>43</v>
      </c>
      <c r="B16">
        <f ca="1">IF(ISERROR($A16),NA(),OFFSET(ORÇAMENTO!$D$15,$A16,0))</f>
        <v>20</v>
      </c>
      <c r="C16" t="str">
        <f ca="1">QCI!B16</f>
        <v>Automático</v>
      </c>
      <c r="D16" t="str">
        <f t="shared" ca="1" si="0"/>
        <v>F</v>
      </c>
      <c r="E16" s="461">
        <f>QCI!D16</f>
        <v>3</v>
      </c>
      <c r="F16" s="462" t="str">
        <f ca="1">QCI!G16</f>
        <v>PINTURA</v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>LOTE 1</v>
      </c>
      <c r="K16" s="467">
        <f t="shared" ca="1" si="1"/>
        <v>1</v>
      </c>
      <c r="L16" s="468">
        <f ca="1">QCI!$O16</f>
        <v>29599.17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>
        <f ca="1">MATCH(E17,ORÇAMENTO!$E$15:$E$266,0)-1</f>
        <v>63</v>
      </c>
      <c r="B17">
        <f ca="1">IF(ISERROR($A17),NA(),OFFSET(ORÇAMENTO!$D$15,$A17,0))</f>
        <v>17</v>
      </c>
      <c r="C17" t="str">
        <f ca="1">QCI!B17</f>
        <v>Automático</v>
      </c>
      <c r="D17" t="str">
        <f t="shared" ca="1" si="0"/>
        <v>F</v>
      </c>
      <c r="E17" s="461">
        <f>QCI!D17</f>
        <v>4</v>
      </c>
      <c r="F17" s="462" t="str">
        <f ca="1">QCI!G17</f>
        <v>ESQUADRIAS</v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>LOTE 1</v>
      </c>
      <c r="K17" s="467">
        <f t="shared" ca="1" si="1"/>
        <v>1</v>
      </c>
      <c r="L17" s="468">
        <f ca="1">QCI!$O17</f>
        <v>1729.41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>
        <f ca="1">MATCH(E18,ORÇAMENTO!$E$15:$E$266,0)-1</f>
        <v>80</v>
      </c>
      <c r="B18">
        <f ca="1">IF(ISERROR($A18),NA(),OFFSET(ORÇAMENTO!$D$15,$A18,0))</f>
        <v>171</v>
      </c>
      <c r="C18" t="str">
        <f ca="1">QCI!B18</f>
        <v>Automático</v>
      </c>
      <c r="D18" t="str">
        <f t="shared" ca="1" si="0"/>
        <v>F</v>
      </c>
      <c r="E18" s="461">
        <f>QCI!D18</f>
        <v>5</v>
      </c>
      <c r="F18" s="462" t="str">
        <f ca="1">QCI!G18</f>
        <v>(COBERTURA)</v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>LOTE 1</v>
      </c>
      <c r="K18" s="467">
        <f t="shared" ca="1" si="1"/>
        <v>1</v>
      </c>
      <c r="L18" s="468">
        <f ca="1">QCI!$O18</f>
        <v>16273.31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6" t="s">
        <v>375</v>
      </c>
      <c r="K24" s="787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8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9" t="str">
        <f>IF(import.recurso="FGTS","Financiamento","Repasse")</f>
        <v>Repasse</v>
      </c>
      <c r="K25" s="790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8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1" t="s">
        <v>380</v>
      </c>
      <c r="K26" s="792"/>
      <c r="L26" s="490">
        <f ca="1">QCI!M24</f>
        <v>55942.83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8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3" t="s">
        <v>357</v>
      </c>
      <c r="K27" s="794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8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5" t="s">
        <v>359</v>
      </c>
      <c r="K28" s="796"/>
      <c r="L28" s="501">
        <f ca="1">SUM(L13:OFFSET(L24,-1,0))</f>
        <v>55942.83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8"/>
      <c r="X28" s="505"/>
      <c r="Y28" s="506"/>
      <c r="Z28" s="507"/>
    </row>
    <row r="29" spans="1:41" x14ac:dyDescent="0.2">
      <c r="O29" s="797" t="str">
        <f ca="1">"Acumulado Anterior:  "&amp;TEXT($M$28/($L$28+10^-12),"0,00%")</f>
        <v>Acumulado Anterior:  0,00%</v>
      </c>
      <c r="P29" s="797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9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1"/>
      <c r="R31" s="106"/>
      <c r="S31" s="106"/>
      <c r="T31" s="106"/>
      <c r="U31" s="106"/>
    </row>
    <row r="32" spans="1:41" ht="12.75" customHeight="1" x14ac:dyDescent="0.2">
      <c r="E32" s="779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1"/>
      <c r="R32" s="106"/>
      <c r="S32" s="106"/>
      <c r="T32" s="106"/>
      <c r="U32" s="106"/>
      <c r="Y32" s="508"/>
      <c r="Z32" s="508"/>
    </row>
    <row r="33" spans="5:21" ht="12.75" customHeight="1" x14ac:dyDescent="0.2">
      <c r="E33" s="782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4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6" t="str">
        <f>Import.Município</f>
        <v>CÉU AZUL</v>
      </c>
      <c r="F35" s="706"/>
      <c r="G35" s="706"/>
      <c r="I35" s="509"/>
      <c r="J35" s="101"/>
      <c r="L35" s="716">
        <f>DADOS!$F$25</f>
        <v>44628</v>
      </c>
      <c r="M35" s="716"/>
      <c r="N35" s="716"/>
      <c r="O35" s="716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5" t="str">
        <f>IF(CAIXA.Modo,BM!X278,DADOS!F50)</f>
        <v>JOÃO YASUJI SAKAI</v>
      </c>
      <c r="N40" s="785"/>
      <c r="O40" s="785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5" t="str">
        <f>IF(CAIXA.Modo,BM!X279,DADOS!F51)</f>
        <v>ENGENHEIRO CIVIL</v>
      </c>
      <c r="N41" s="785"/>
      <c r="O41" s="785"/>
      <c r="R41" s="106"/>
      <c r="S41" s="106"/>
      <c r="T41" s="106"/>
      <c r="U41" s="106"/>
    </row>
    <row r="42" spans="5:21" x14ac:dyDescent="0.2">
      <c r="L42" s="95" t="s">
        <v>108</v>
      </c>
      <c r="M42" s="785" t="str">
        <f>IF(CAIXA.Modo,BM!X280,DADOS!F52)</f>
        <v>PR21735/D</v>
      </c>
      <c r="N42" s="785"/>
      <c r="O42" s="785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60"/>
      <c r="G47" s="760"/>
      <c r="L47" s="95" t="s">
        <v>107</v>
      </c>
      <c r="M47" s="760"/>
      <c r="N47" s="760"/>
      <c r="O47" s="760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60"/>
      <c r="G48" s="760"/>
      <c r="L48" s="95" t="str">
        <f>IF(CAIXA.Modo,"Função:","Cargo:")</f>
        <v>Cargo:</v>
      </c>
      <c r="M48" s="760"/>
      <c r="N48" s="760"/>
      <c r="O48" s="760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60"/>
      <c r="G49" s="760"/>
      <c r="L49" s="95" t="str">
        <f>IF(CAIXA.Modo,"Matrícula:","")</f>
        <v/>
      </c>
      <c r="M49" s="760"/>
      <c r="N49" s="760"/>
      <c r="O49" s="760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3"/>
      <c r="C1" s="823"/>
      <c r="D1" s="66"/>
      <c r="E1" s="66"/>
      <c r="F1" s="66"/>
      <c r="G1" s="656" t="s">
        <v>139</v>
      </c>
    </row>
    <row r="2" spans="2:17" x14ac:dyDescent="0.2">
      <c r="B2" s="823"/>
      <c r="C2" s="823"/>
      <c r="D2" s="511"/>
      <c r="E2" s="511"/>
      <c r="F2" s="511"/>
      <c r="G2" s="657" t="s">
        <v>381</v>
      </c>
    </row>
    <row r="3" spans="2:17" ht="26.1" customHeight="1" x14ac:dyDescent="0.2">
      <c r="B3" s="823"/>
      <c r="C3" s="823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3"/>
      <c r="C4" s="823"/>
      <c r="D4" s="511"/>
      <c r="E4" s="511"/>
      <c r="F4" s="511"/>
      <c r="G4" s="511"/>
      <c r="I4" s="824" t="s">
        <v>383</v>
      </c>
      <c r="J4" s="820" t="s">
        <v>384</v>
      </c>
      <c r="K4" s="820" t="s">
        <v>385</v>
      </c>
      <c r="L4" s="820" t="s">
        <v>386</v>
      </c>
    </row>
    <row r="5" spans="2:17" x14ac:dyDescent="0.2">
      <c r="I5" s="824"/>
      <c r="J5" s="820"/>
      <c r="K5" s="820"/>
      <c r="L5" s="820"/>
    </row>
    <row r="6" spans="2:17" x14ac:dyDescent="0.2">
      <c r="B6" s="636" t="s">
        <v>387</v>
      </c>
      <c r="C6" s="821"/>
      <c r="D6" s="821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55942.83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2" t="str">
        <f>CONCATENATE(RRE!$E$35,", ",TEXT(RRE!$L$35,"dd"" de ""mmmm"" de ""aaaa"))</f>
        <v>CÉU AZUL, 08 de março de 2022</v>
      </c>
      <c r="C8" s="822"/>
      <c r="D8" s="822"/>
      <c r="E8" s="822"/>
      <c r="F8" s="822"/>
      <c r="G8" s="822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6" t="s">
        <v>389</v>
      </c>
      <c r="C10" s="816"/>
      <c r="D10" s="816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5"/>
      <c r="D11" s="815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6" t="str">
        <f ca="1">CONCATENATE(RRE.Numero,"ª"," Solicitação de ",IF(import.recurso="OGU","Desbloqueio","Desembolso")," de Recursos.")</f>
        <v>1ª Solicitação de Desembolso de Recursos.</v>
      </c>
      <c r="D14" s="816"/>
      <c r="E14" s="816"/>
      <c r="F14" s="816"/>
      <c r="G14" s="816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7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7"/>
      <c r="E15" s="817"/>
      <c r="F15" s="817"/>
      <c r="G15" s="817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7"/>
      <c r="D16" s="817"/>
      <c r="E16" s="817"/>
      <c r="F16" s="817"/>
      <c r="G16" s="817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8">
        <f>Import.DescLote</f>
        <v>0</v>
      </c>
      <c r="D18" s="818"/>
      <c r="E18" s="818"/>
      <c r="F18" s="818"/>
      <c r="G18" s="818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>MUNICIPIO DE CÉU AZUL</v>
      </c>
      <c r="D19" s="814"/>
      <c r="E19" s="814"/>
      <c r="F19" s="814"/>
      <c r="G19" s="814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9" t="s">
        <v>394</v>
      </c>
      <c r="E28" s="819" t="str">
        <f ca="1">"Evolução da "&amp;RRE.Numero&amp;"ª Medição"</f>
        <v>Evolução da 1ª Medição</v>
      </c>
      <c r="F28" s="819" t="s">
        <v>395</v>
      </c>
      <c r="G28" s="819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2"/>
      <c r="C29" s="812"/>
      <c r="D29" s="819"/>
      <c r="E29" s="819"/>
      <c r="F29" s="819"/>
      <c r="G29" s="819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7" t="str">
        <f>IF(import.recurso="FGTS","Financiamento:","Repasse:")</f>
        <v>Repasse:</v>
      </c>
      <c r="C30" s="807"/>
      <c r="D30" s="648">
        <f ca="1">RRE!L25</f>
        <v>0</v>
      </c>
      <c r="E30" s="648">
        <f ca="1">RRE!N25</f>
        <v>0</v>
      </c>
      <c r="F30" s="808">
        <f ca="1">RRE!O25</f>
        <v>0</v>
      </c>
      <c r="G30" s="808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7" t="s">
        <v>396</v>
      </c>
      <c r="C31" s="807"/>
      <c r="D31" s="648">
        <f ca="1">RRE!L26</f>
        <v>55942.83</v>
      </c>
      <c r="E31" s="648">
        <f ca="1">RRE!N26</f>
        <v>0</v>
      </c>
      <c r="F31" s="808">
        <f ca="1">RRE!O26</f>
        <v>0</v>
      </c>
      <c r="G31" s="808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7" t="s">
        <v>284</v>
      </c>
      <c r="C32" s="807"/>
      <c r="D32" s="648">
        <f ca="1">RRE!L27</f>
        <v>0</v>
      </c>
      <c r="E32" s="648">
        <f ca="1">RRE!N27</f>
        <v>0</v>
      </c>
      <c r="F32" s="808">
        <f ca="1">RRE!O27</f>
        <v>0</v>
      </c>
      <c r="G32" s="808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7" t="s">
        <v>285</v>
      </c>
      <c r="C33" s="807"/>
      <c r="D33" s="648">
        <f ca="1">RRE!L28</f>
        <v>55942.83</v>
      </c>
      <c r="E33" s="648">
        <f ca="1">RRE!N28</f>
        <v>0</v>
      </c>
      <c r="F33" s="808">
        <f ca="1">RRE!O28</f>
        <v>0</v>
      </c>
      <c r="G33" s="808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7" t="s">
        <v>397</v>
      </c>
      <c r="C34" s="807"/>
      <c r="D34" s="649" t="s">
        <v>165</v>
      </c>
      <c r="E34" s="650">
        <f ca="1">RRE!$N$28/(RRE!$L$28+10^-12)</f>
        <v>0</v>
      </c>
      <c r="F34" s="809">
        <f ca="1">RRE!P24</f>
        <v>0</v>
      </c>
      <c r="G34" s="809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10" t="str">
        <f ca="1">IF(RRE.Numero&gt;1,"2. Encaminhamos ainda a documentação relativa à prestação de contas da etapa físico-financeira anterior.","")</f>
        <v/>
      </c>
      <c r="C37" s="810"/>
      <c r="D37" s="810"/>
      <c r="E37" s="810"/>
      <c r="F37" s="810"/>
      <c r="G37" s="810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10"/>
      <c r="C38" s="810"/>
      <c r="D38" s="810"/>
      <c r="E38" s="810"/>
      <c r="F38" s="810"/>
      <c r="G38" s="810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10" t="str">
        <f ca="1">IF(AND(RRE.Numero&gt;1,NOT(ISBLANK(Import.SICONV))),"3. Na oportunidade, informamos que a execução financeira da parcela anterior está devidamente comprovada no SICONV.","")</f>
        <v/>
      </c>
      <c r="C39" s="810"/>
      <c r="D39" s="810"/>
      <c r="E39" s="810"/>
      <c r="F39" s="810"/>
      <c r="G39" s="810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10"/>
      <c r="C40" s="810"/>
      <c r="D40" s="810"/>
      <c r="E40" s="810"/>
      <c r="F40" s="810"/>
      <c r="G40" s="810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1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0"/>
      <c r="D42" s="810"/>
      <c r="E42" s="810"/>
      <c r="F42" s="810"/>
      <c r="G42" s="810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10"/>
      <c r="C43" s="810"/>
      <c r="D43" s="810"/>
      <c r="E43" s="810"/>
      <c r="F43" s="810"/>
      <c r="G43" s="810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10"/>
      <c r="C44" s="810"/>
      <c r="D44" s="810"/>
      <c r="E44" s="810"/>
      <c r="F44" s="810"/>
      <c r="G44" s="810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10"/>
      <c r="C45" s="810"/>
      <c r="D45" s="810"/>
      <c r="E45" s="810"/>
      <c r="F45" s="810"/>
      <c r="G45" s="810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10"/>
      <c r="C46" s="810"/>
      <c r="D46" s="810"/>
      <c r="E46" s="810"/>
      <c r="F46" s="810"/>
      <c r="G46" s="810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5" t="str">
        <f>DADOS!$F$28</f>
        <v>LAURINDO SPEROTTO</v>
      </c>
      <c r="C54" s="805"/>
      <c r="D54" s="805"/>
      <c r="E54" s="805"/>
      <c r="F54" s="805"/>
      <c r="G54" s="805"/>
    </row>
    <row r="55" spans="2:7" x14ac:dyDescent="0.2">
      <c r="B55" s="805" t="str">
        <f>DADOS!$F$29</f>
        <v>PREFEITO</v>
      </c>
      <c r="C55" s="805"/>
      <c r="D55" s="805"/>
      <c r="E55" s="805"/>
      <c r="F55" s="805"/>
      <c r="G55" s="805"/>
    </row>
    <row r="56" spans="2:7" x14ac:dyDescent="0.2">
      <c r="B56" s="806"/>
      <c r="C56" s="806"/>
      <c r="D56" s="806"/>
      <c r="E56" s="806"/>
      <c r="F56" s="806"/>
      <c r="G56" s="806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2022-03-08T12:34:50Z</cp:lastPrinted>
  <dcterms:created xsi:type="dcterms:W3CDTF">1997-01-10T22:22:50Z</dcterms:created>
  <dcterms:modified xsi:type="dcterms:W3CDTF">2022-04-05T14:03:45Z</dcterms:modified>
</cp:coreProperties>
</file>